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sierrasmith/Downloads/"/>
    </mc:Choice>
  </mc:AlternateContent>
  <xr:revisionPtr revIDLastSave="0" documentId="13_ncr:1_{33D99EDB-70E5-BF42-A603-EC2B007157F3}" xr6:coauthVersionLast="47" xr6:coauthVersionMax="47" xr10:uidLastSave="{00000000-0000-0000-0000-000000000000}"/>
  <bookViews>
    <workbookView xWindow="16240" yWindow="2760" windowWidth="16920" windowHeight="20660" activeTab="3" xr2:uid="{00000000-000D-0000-FFFF-FFFF00000000}"/>
  </bookViews>
  <sheets>
    <sheet name="Summary Dashboard" sheetId="1" r:id="rId1"/>
    <sheet name="Luna Freeman" sheetId="2" r:id="rId2"/>
    <sheet name="Maya Orion" sheetId="3" r:id="rId3"/>
    <sheet name="Robin Goodman" sheetId="4" r:id="rId4"/>
    <sheet name="Behavioral Impact" sheetId="5" r:id="rId5"/>
    <sheet name="Lifetime Valu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D7" i="6"/>
  <c r="D6" i="6"/>
  <c r="B27" i="5"/>
  <c r="C29" i="4"/>
  <c r="B29" i="4"/>
  <c r="C28" i="4"/>
  <c r="B28" i="4"/>
  <c r="C27" i="4"/>
  <c r="B27" i="4"/>
  <c r="C26" i="4"/>
  <c r="B26" i="4"/>
  <c r="C19" i="4"/>
  <c r="F9" i="4"/>
  <c r="D10" i="4" s="1"/>
  <c r="E9" i="4"/>
  <c r="C29" i="3"/>
  <c r="B29" i="3"/>
  <c r="C28" i="3"/>
  <c r="B28" i="3"/>
  <c r="C27" i="3"/>
  <c r="B27" i="3"/>
  <c r="C26" i="3"/>
  <c r="B26" i="3"/>
  <c r="C19" i="3"/>
  <c r="E9" i="3"/>
  <c r="C29" i="2"/>
  <c r="B29" i="2"/>
  <c r="C28" i="2"/>
  <c r="B28" i="2"/>
  <c r="C27" i="2"/>
  <c r="B27" i="2"/>
  <c r="C26" i="2"/>
  <c r="B26" i="2"/>
  <c r="C19" i="2"/>
  <c r="E9" i="2"/>
  <c r="B20" i="1"/>
  <c r="E10" i="4" l="1"/>
  <c r="F9" i="2"/>
  <c r="D10" i="2" s="1"/>
  <c r="F9" i="3"/>
  <c r="D10" i="3" s="1"/>
  <c r="E10" i="2" l="1"/>
  <c r="E10" i="3"/>
  <c r="F10" i="4"/>
  <c r="D11" i="4" s="1"/>
  <c r="E11" i="4" l="1"/>
  <c r="F10" i="3"/>
  <c r="D11" i="3" s="1"/>
  <c r="F10" i="2"/>
  <c r="D11" i="2" s="1"/>
  <c r="E11" i="2" l="1"/>
  <c r="F11" i="2"/>
  <c r="D12" i="2" s="1"/>
  <c r="E11" i="3"/>
  <c r="F11" i="3" s="1"/>
  <c r="D12" i="3" s="1"/>
  <c r="F11" i="4"/>
  <c r="D12" i="4" s="1"/>
  <c r="E12" i="3" l="1"/>
  <c r="F12" i="3" s="1"/>
  <c r="D13" i="3" s="1"/>
  <c r="E12" i="4"/>
  <c r="E12" i="2"/>
  <c r="F12" i="2" s="1"/>
  <c r="D13" i="2" s="1"/>
  <c r="E13" i="2" l="1"/>
  <c r="F13" i="2" s="1"/>
  <c r="D14" i="2" s="1"/>
  <c r="E13" i="3"/>
  <c r="F13" i="3" s="1"/>
  <c r="F12" i="4"/>
  <c r="D13" i="4" s="1"/>
  <c r="E14" i="3" l="1"/>
  <c r="F14" i="3" s="1"/>
  <c r="D15" i="3" s="1"/>
  <c r="E14" i="2"/>
  <c r="F14" i="2" s="1"/>
  <c r="D15" i="2" s="1"/>
  <c r="E13" i="4"/>
  <c r="F13" i="4" s="1"/>
  <c r="D14" i="4" s="1"/>
  <c r="E14" i="4" l="1"/>
  <c r="F14" i="4" s="1"/>
  <c r="D15" i="4" s="1"/>
  <c r="E15" i="2"/>
  <c r="F15" i="2"/>
  <c r="D16" i="2" s="1"/>
  <c r="E15" i="3"/>
  <c r="F15" i="3" s="1"/>
  <c r="D16" i="3" s="1"/>
  <c r="E16" i="3" l="1"/>
  <c r="F16" i="3" s="1"/>
  <c r="D17" i="3" s="1"/>
  <c r="E15" i="4"/>
  <c r="F15" i="4" s="1"/>
  <c r="D16" i="4" s="1"/>
  <c r="E16" i="2"/>
  <c r="F16" i="2" s="1"/>
  <c r="D17" i="2" s="1"/>
  <c r="E17" i="2" l="1"/>
  <c r="F17" i="2" s="1"/>
  <c r="D18" i="2" s="1"/>
  <c r="E16" i="4"/>
  <c r="F16" i="4" s="1"/>
  <c r="D17" i="4" s="1"/>
  <c r="E17" i="3"/>
  <c r="F17" i="3" s="1"/>
  <c r="D18" i="3" s="1"/>
  <c r="E18" i="3" l="1"/>
  <c r="E19" i="3" s="1"/>
  <c r="E17" i="4"/>
  <c r="F17" i="4" s="1"/>
  <c r="D18" i="4" s="1"/>
  <c r="E18" i="2"/>
  <c r="E19" i="2" s="1"/>
  <c r="E18" i="4" l="1"/>
  <c r="E19" i="4" s="1"/>
  <c r="F18" i="2"/>
  <c r="F19" i="2" s="1"/>
  <c r="F7" i="1" s="1"/>
  <c r="F18" i="3"/>
  <c r="F19" i="3" s="1"/>
  <c r="F8" i="1" s="1"/>
  <c r="F18" i="4" l="1"/>
  <c r="F19" i="4" s="1"/>
  <c r="F9" i="1" s="1"/>
</calcChain>
</file>

<file path=xl/sharedStrings.xml><?xml version="1.0" encoding="utf-8"?>
<sst xmlns="http://schemas.openxmlformats.org/spreadsheetml/2006/main" count="188" uniqueCount="134">
  <si>
    <t>Flora Financial Model</t>
  </si>
  <si>
    <t>Analyzing Three User Personas with Different Risk Tolerances and Income Constraints</t>
  </si>
  <si>
    <t>PERSONA COMPARISON</t>
  </si>
  <si>
    <t>Persona</t>
  </si>
  <si>
    <t>Risk Tolerance</t>
  </si>
  <si>
    <t>Income Range</t>
  </si>
  <si>
    <t>Monthly Contrib.</t>
  </si>
  <si>
    <t>Annual Return</t>
  </si>
  <si>
    <t>10-Year Total</t>
  </si>
  <si>
    <t>Behavioral Pattern</t>
  </si>
  <si>
    <t>Luna Freeman</t>
  </si>
  <si>
    <t>Conservative</t>
  </si>
  <si>
    <t>$35K-$45K</t>
  </si>
  <si>
    <t>Paycheck-to-paycheck</t>
  </si>
  <si>
    <t>Maya Orion</t>
  </si>
  <si>
    <t>Aggressive</t>
  </si>
  <si>
    <t>$65K-$80K</t>
  </si>
  <si>
    <t>Variable freelance income</t>
  </si>
  <si>
    <t>Robin Goodman</t>
  </si>
  <si>
    <t>Balanced</t>
  </si>
  <si>
    <t>$70K-$100K</t>
  </si>
  <si>
    <t>Professional stability</t>
  </si>
  <si>
    <t>KEY FINDINGS</t>
  </si>
  <si>
    <t>1. Starting Small Beats Waiting to Start Big</t>
  </si>
  <si>
    <t xml:space="preserve">   • $50/month grows to $8,200+ over 10 years</t>
  </si>
  <si>
    <t xml:space="preserve">   • Income constraints don't prevent wealth building</t>
  </si>
  <si>
    <t xml:space="preserve">   • Psychological barrier is starting, not the amount</t>
  </si>
  <si>
    <t>2. Behavioral Interventions Prevent Wealth Destruction</t>
  </si>
  <si>
    <t xml:space="preserve">   • Cost of panic-selling during 20% decline:</t>
  </si>
  <si>
    <t xml:space="preserve">   • Decision-support tools protect long-term returns</t>
  </si>
  <si>
    <t>3. Lifetime Client Value Framework</t>
  </si>
  <si>
    <t xml:space="preserve">   • $50/month at age 23 → $2M-$5M+ client by age 53</t>
  </si>
  <si>
    <t xml:space="preserve">   • Early engagement creates lasting relationships</t>
  </si>
  <si>
    <t>MARKET OPPORTUNITY</t>
  </si>
  <si>
    <t>• $30 trillion transferring to millennials/Gen Z over next decade</t>
  </si>
  <si>
    <t>• 73% of first-generation builders distrust traditional finance</t>
  </si>
  <si>
    <t>• Traditional minimums ($100K-$10M) exclude early-stage builders</t>
  </si>
  <si>
    <t>• Flora bridges gap through behavioral design at $25/month entry</t>
  </si>
  <si>
    <t>Luna Freeman - Conservative Growth Profile</t>
  </si>
  <si>
    <t>Risk Tolerance:</t>
  </si>
  <si>
    <t>Conservative / Low-Risk</t>
  </si>
  <si>
    <t>Starting Age:</t>
  </si>
  <si>
    <t>Income Range:</t>
  </si>
  <si>
    <t>$35,000 - $45,000</t>
  </si>
  <si>
    <t>Monthly Contribution:</t>
  </si>
  <si>
    <t>Behavioral Pattern:</t>
  </si>
  <si>
    <t>Emotion-first, seeks stability &amp; safety</t>
  </si>
  <si>
    <t>Annual Return Rate:</t>
  </si>
  <si>
    <t>Age</t>
  </si>
  <si>
    <t>Year</t>
  </si>
  <si>
    <t>Annual Contribution</t>
  </si>
  <si>
    <t>Beginning Balance</t>
  </si>
  <si>
    <t>Investment Return</t>
  </si>
  <si>
    <t>Ending Balance</t>
  </si>
  <si>
    <t>TOTAL</t>
  </si>
  <si>
    <t>10 Years</t>
  </si>
  <si>
    <t>Key Finding:</t>
  </si>
  <si>
    <t>Even modest $50/month contributions grow to $8,200+ over 10 years at 6% annual returns.</t>
  </si>
  <si>
    <t>CONTRIBUTION CAPACITY SCENARIOS</t>
  </si>
  <si>
    <t>Monthly Amount</t>
  </si>
  <si>
    <t>% of Income</t>
  </si>
  <si>
    <t>Income Constraint Analysis:</t>
  </si>
  <si>
    <t>Living paycheck-to-paycheck limits capacity to $25-$100/month</t>
  </si>
  <si>
    <t>Behavioral barrier: 'I can't afford to invest' mindset</t>
  </si>
  <si>
    <t>Maya Orion - Aggressive Growth Profile</t>
  </si>
  <si>
    <t>Aggressive / Growth-Oriented</t>
  </si>
  <si>
    <t>$65,000 - $80,000</t>
  </si>
  <si>
    <t>Comfortable with volatility, seeks growth</t>
  </si>
  <si>
    <t>$150/month at 8% demonstrates power of consistent contributions + higher risk tolerance.</t>
  </si>
  <si>
    <t>Freelance income variability requires flexible contribution options</t>
  </si>
  <si>
    <t>Behavioral pattern: Motivated by growth, needs adaptive tools</t>
  </si>
  <si>
    <t>Robin Goodman - Balanced Growth Profile</t>
  </si>
  <si>
    <t>Balanced / Analytical</t>
  </si>
  <si>
    <t>$70,000 - $100,000</t>
  </si>
  <si>
    <t>Data-driven, emotionally attuned, seeks clarity</t>
  </si>
  <si>
    <t>$300/month creates pathway to significant wealth accumulation with moderate risk.</t>
  </si>
  <si>
    <t>Professional salary allows higher contributions without financial strain</t>
  </si>
  <si>
    <t>Behavioral pattern: Seeks balance between growth and emotional grounding</t>
  </si>
  <si>
    <t>Behavioral Finance Impact Analysis</t>
  </si>
  <si>
    <t>Scenario: 20% Market Decline in Year 3</t>
  </si>
  <si>
    <t>Using Maya Orion profile: $150/month | 8% average return | Starting age 25</t>
  </si>
  <si>
    <t>DISCIPLINED INVESTOR (Stays Invested Through Volatility)</t>
  </si>
  <si>
    <t>Market Event</t>
  </si>
  <si>
    <t>Normal Growth</t>
  </si>
  <si>
    <t>20% DECLINE</t>
  </si>
  <si>
    <t>...</t>
  </si>
  <si>
    <t>Full Recovery</t>
  </si>
  <si>
    <t>PANIC SELLER (Sells at Bottom, Re-enters Year 5)</t>
  </si>
  <si>
    <t>Action Taken</t>
  </si>
  <si>
    <t>SELLS (locks -20% loss)</t>
  </si>
  <si>
    <t>Sits in cash, misses recovery</t>
  </si>
  <si>
    <t>Re-entered Year 5</t>
  </si>
  <si>
    <t>COST OF PANIC-SELLING:</t>
  </si>
  <si>
    <t>Wealth Destroyed by Emotional Decision</t>
  </si>
  <si>
    <t>Flora's Decision-Support Interventions:</t>
  </si>
  <si>
    <t>✓ Historical recovery data visualization during market declines</t>
  </si>
  <si>
    <t>✓ Reframing prompts: 'This is a buying opportunity, not a crisis'</t>
  </si>
  <si>
    <t>✓ 24-hour cooling-off period before allowing panic sales</t>
  </si>
  <si>
    <t>✓ Behavioral nudges to reduce emotional selling</t>
  </si>
  <si>
    <t>✓ Contextual insights showing past market recoveries</t>
  </si>
  <si>
    <t>Lifetime Client Value Framework</t>
  </si>
  <si>
    <t>Luna Freeman: From $50/month First-Gen Builder to High-Net-Worth Client</t>
  </si>
  <si>
    <t>Monthly Contribution</t>
  </si>
  <si>
    <t>Est. Portfolio Value</t>
  </si>
  <si>
    <t>Wealth Tier</t>
  </si>
  <si>
    <t>Entry Level</t>
  </si>
  <si>
    <t>Getting Started</t>
  </si>
  <si>
    <t>Early Career</t>
  </si>
  <si>
    <t>Building Discipline</t>
  </si>
  <si>
    <t>Mid-Career</t>
  </si>
  <si>
    <t>Foundation</t>
  </si>
  <si>
    <t>Professional</t>
  </si>
  <si>
    <t>Momentum</t>
  </si>
  <si>
    <t>Senior Role</t>
  </si>
  <si>
    <t>Emerging Affluent</t>
  </si>
  <si>
    <t>Leadership</t>
  </si>
  <si>
    <t>Mass Affluent</t>
  </si>
  <si>
    <t>Executive</t>
  </si>
  <si>
    <t>HNW Candidate</t>
  </si>
  <si>
    <t>Senior Executive</t>
  </si>
  <si>
    <t>High Net Worth</t>
  </si>
  <si>
    <t>Peak Earning</t>
  </si>
  <si>
    <t>HNW+</t>
  </si>
  <si>
    <t>Key Insight:</t>
  </si>
  <si>
    <t>Early engagement at $50/month creates 30-year client relationships</t>
  </si>
  <si>
    <t>First-generation builders in their 20s become $2M-$5M+ HNW clients in their 50s</t>
  </si>
  <si>
    <t>Strategic Implications for Wealth Management Firms:</t>
  </si>
  <si>
    <t>• Traditional firms require $100K-$10M account minimums</t>
  </si>
  <si>
    <t>• Flora meets users at $25/month entry point and scales with them</t>
  </si>
  <si>
    <t>• Building trust early = lifetime advisory relationships</t>
  </si>
  <si>
    <t>• $30 trillion transferring to Gen Z/Millennials over next decade</t>
  </si>
  <si>
    <t>• 73% of first-generation builders don't trust traditional finance</t>
  </si>
  <si>
    <t>• Firms who serve Gen Z at $50/month today earn the right to manage millions tomorrow</t>
  </si>
  <si>
    <t>Ideal Career Stages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</si>
</sst>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\$#,##0"/>
    <numFmt numFmtId="165" formatCode="\$#,##0.00"/>
    <numFmt numFmtId="166" formatCode="0.0%"/>
  </numFmts>
  <fonts count="35" x14ac:knownFonts="1">
    <font>
      <sz val="11"/>
      <color theme="1"/>
      <name val="Calibri"/>
      <family val="2"/>
      <scheme val="minor"/>
    </font>
    <font>
      <b/>
      <sz val="16"/>
      <color rgb="FF2F4F4F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i/>
      <sz val="10"/>
      <name val="Calibri"/>
    </font>
    <font>
      <i/>
      <sz val="11"/>
      <name val="Calibri"/>
    </font>
    <font>
      <b/>
      <sz val="11"/>
      <color rgb="FF008000"/>
      <name val="Calibri"/>
    </font>
    <font>
      <b/>
      <sz val="11"/>
      <color rgb="FFFF0000"/>
      <name val="Calibri"/>
    </font>
    <font>
      <b/>
      <sz val="11"/>
      <color rgb="FFCC0000"/>
      <name val="Calibri"/>
    </font>
    <font>
      <b/>
      <sz val="13"/>
      <name val="Calibri"/>
    </font>
    <font>
      <b/>
      <sz val="14"/>
      <color rgb="FFFF0000"/>
      <name val="Calibri"/>
    </font>
    <font>
      <b/>
      <sz val="14"/>
      <name val="Calibri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Calibri (Body)"/>
    </font>
    <font>
      <i/>
      <sz val="11"/>
      <color theme="1"/>
      <name val="Calibri (Body)"/>
    </font>
    <font>
      <b/>
      <sz val="20"/>
      <color theme="1"/>
      <name val="Times New Roman"/>
      <family val="1"/>
    </font>
    <font>
      <b/>
      <sz val="14"/>
      <name val="Calibri"/>
      <family val="2"/>
    </font>
    <font>
      <b/>
      <sz val="10"/>
      <name val="Arial"/>
      <family val="2"/>
    </font>
    <font>
      <b/>
      <sz val="16"/>
      <color theme="1"/>
      <name val="Times New Roman"/>
      <family val="1"/>
    </font>
    <font>
      <b/>
      <sz val="11"/>
      <color rgb="FF2F4F4F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i/>
      <sz val="11"/>
      <color rgb="FFCC0000"/>
      <name val="Times New Roman"/>
      <family val="1"/>
    </font>
    <font>
      <i/>
      <sz val="11"/>
      <name val="Times New Roman"/>
      <family val="1"/>
    </font>
    <font>
      <sz val="20"/>
      <color theme="1"/>
      <name val="Times New Roman"/>
      <family val="1"/>
    </font>
    <font>
      <b/>
      <sz val="11"/>
      <name val="Arial"/>
      <family val="2"/>
    </font>
    <font>
      <sz val="16"/>
      <color theme="1"/>
      <name val="Times New Roman"/>
      <family val="1"/>
    </font>
    <font>
      <i/>
      <sz val="11"/>
      <name val="Calibri"/>
      <family val="2"/>
    </font>
    <font>
      <b/>
      <i/>
      <sz val="14"/>
      <name val="Calibri"/>
      <family val="2"/>
    </font>
    <font>
      <i/>
      <sz val="11"/>
      <color theme="1"/>
      <name val="Calibri"/>
      <family val="2"/>
      <scheme val="minor"/>
    </font>
    <font>
      <b/>
      <sz val="14"/>
      <name val="Times New Roman"/>
      <family val="1"/>
    </font>
    <font>
      <i/>
      <sz val="11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D4B5A0"/>
        <bgColor rgb="FFD4B5A0"/>
      </patternFill>
    </fill>
    <fill>
      <patternFill patternType="solid">
        <fgColor rgb="FF8FA888"/>
        <bgColor rgb="FF8FA888"/>
      </patternFill>
    </fill>
    <fill>
      <patternFill patternType="solid">
        <fgColor rgb="FFF5F1ED"/>
        <bgColor rgb="FFF5F1ED"/>
      </patternFill>
    </fill>
    <fill>
      <patternFill patternType="solid">
        <fgColor rgb="FFFFD966"/>
        <bgColor rgb="FFFFD966"/>
      </patternFill>
    </fill>
    <fill>
      <patternFill patternType="solid">
        <fgColor rgb="FFC6E0B4"/>
        <bgColor rgb="FFC6E0B4"/>
      </patternFill>
    </fill>
    <fill>
      <patternFill patternType="solid">
        <fgColor rgb="FFF4CCCC"/>
        <bgColor rgb="FFF4CCCC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FD96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5F1ED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0" fontId="2" fillId="2" borderId="0" xfId="0" applyFont="1" applyFill="1"/>
    <xf numFmtId="0" fontId="8" fillId="0" borderId="0" xfId="0" applyFont="1"/>
    <xf numFmtId="164" fontId="0" fillId="5" borderId="0" xfId="0" applyNumberFormat="1" applyFill="1"/>
    <xf numFmtId="164" fontId="4" fillId="6" borderId="0" xfId="0" applyNumberFormat="1" applyFont="1" applyFill="1"/>
    <xf numFmtId="164" fontId="0" fillId="7" borderId="0" xfId="0" applyNumberFormat="1" applyFill="1"/>
    <xf numFmtId="164" fontId="4" fillId="7" borderId="0" xfId="0" applyNumberFormat="1" applyFont="1" applyFill="1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164" fontId="4" fillId="3" borderId="0" xfId="0" applyNumberFormat="1" applyFont="1" applyFill="1" applyAlignment="1">
      <alignment horizontal="right"/>
    </xf>
    <xf numFmtId="0" fontId="0" fillId="0" borderId="0" xfId="0"/>
    <xf numFmtId="0" fontId="12" fillId="3" borderId="0" xfId="0" applyFont="1" applyFill="1"/>
    <xf numFmtId="0" fontId="1" fillId="0" borderId="0" xfId="0" applyFont="1"/>
    <xf numFmtId="0" fontId="7" fillId="6" borderId="0" xfId="0" applyFont="1" applyFill="1"/>
    <xf numFmtId="0" fontId="9" fillId="7" borderId="0" xfId="0" applyFont="1" applyFill="1"/>
    <xf numFmtId="0" fontId="4" fillId="5" borderId="0" xfId="0" applyFont="1" applyFill="1"/>
    <xf numFmtId="0" fontId="3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64" fontId="14" fillId="0" borderId="0" xfId="0" applyNumberFormat="1" applyFont="1"/>
    <xf numFmtId="6" fontId="14" fillId="0" borderId="0" xfId="0" applyNumberFormat="1" applyFont="1"/>
    <xf numFmtId="9" fontId="14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4" fillId="0" borderId="0" xfId="0" applyFont="1"/>
    <xf numFmtId="0" fontId="19" fillId="3" borderId="0" xfId="0" applyFont="1" applyFill="1"/>
    <xf numFmtId="0" fontId="20" fillId="2" borderId="0" xfId="0" applyFont="1" applyFill="1" applyAlignment="1">
      <alignment horizontal="center" wrapText="1"/>
    </xf>
    <xf numFmtId="0" fontId="21" fillId="0" borderId="0" xfId="0" applyFont="1"/>
    <xf numFmtId="0" fontId="22" fillId="0" borderId="0" xfId="0" applyFont="1"/>
    <xf numFmtId="164" fontId="13" fillId="0" borderId="0" xfId="0" applyNumberFormat="1" applyFont="1"/>
    <xf numFmtId="10" fontId="13" fillId="0" borderId="0" xfId="0" applyNumberFormat="1" applyFont="1"/>
    <xf numFmtId="0" fontId="13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0" applyNumberFormat="1" applyFont="1"/>
    <xf numFmtId="164" fontId="23" fillId="3" borderId="0" xfId="0" applyNumberFormat="1" applyFont="1" applyFill="1"/>
    <xf numFmtId="166" fontId="14" fillId="0" borderId="0" xfId="0" applyNumberFormat="1" applyFont="1"/>
    <xf numFmtId="0" fontId="27" fillId="0" borderId="0" xfId="0" applyFont="1"/>
    <xf numFmtId="0" fontId="28" fillId="2" borderId="0" xfId="0" applyFont="1" applyFill="1" applyAlignment="1">
      <alignment horizontal="center"/>
    </xf>
    <xf numFmtId="6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9" fillId="0" borderId="0" xfId="0" applyFont="1"/>
    <xf numFmtId="0" fontId="0" fillId="8" borderId="0" xfId="0" applyFill="1"/>
    <xf numFmtId="0" fontId="6" fillId="0" borderId="0" xfId="0" applyFont="1" applyAlignment="1">
      <alignment horizontal="center"/>
    </xf>
    <xf numFmtId="0" fontId="10" fillId="9" borderId="3" xfId="0" applyFont="1" applyFill="1" applyBorder="1" applyAlignment="1">
      <alignment horizontal="center"/>
    </xf>
    <xf numFmtId="164" fontId="11" fillId="10" borderId="4" xfId="0" applyNumberFormat="1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30" fillId="11" borderId="8" xfId="0" applyFont="1" applyFill="1" applyBorder="1" applyAlignment="1">
      <alignment horizontal="center"/>
    </xf>
    <xf numFmtId="0" fontId="30" fillId="11" borderId="9" xfId="0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33" fillId="11" borderId="7" xfId="0" applyFont="1" applyFill="1" applyBorder="1" applyAlignment="1">
      <alignment horizontal="center"/>
    </xf>
    <xf numFmtId="0" fontId="13" fillId="11" borderId="7" xfId="0" applyFont="1" applyFill="1" applyBorder="1" applyAlignment="1">
      <alignment horizontal="center"/>
    </xf>
    <xf numFmtId="166" fontId="14" fillId="0" borderId="0" xfId="0" applyNumberFormat="1" applyFont="1" applyAlignment="1">
      <alignment horizontal="center"/>
    </xf>
    <xf numFmtId="0" fontId="23" fillId="4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25" fillId="11" borderId="8" xfId="0" applyFont="1" applyFill="1" applyBorder="1" applyAlignment="1">
      <alignment horizontal="center" wrapText="1"/>
    </xf>
    <xf numFmtId="0" fontId="26" fillId="11" borderId="9" xfId="0" applyFont="1" applyFill="1" applyBorder="1" applyAlignment="1">
      <alignment horizontal="center" wrapText="1"/>
    </xf>
    <xf numFmtId="0" fontId="26" fillId="11" borderId="9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wrapText="1"/>
    </xf>
    <xf numFmtId="0" fontId="13" fillId="11" borderId="7" xfId="0" applyFont="1" applyFill="1" applyBorder="1" applyAlignment="1">
      <alignment horizontal="center" vertical="center" wrapText="1"/>
    </xf>
    <xf numFmtId="0" fontId="24" fillId="11" borderId="9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/>
    </xf>
    <xf numFmtId="0" fontId="26" fillId="11" borderId="9" xfId="0" applyFont="1" applyFill="1" applyBorder="1" applyAlignment="1">
      <alignment horizontal="center" vertical="center"/>
    </xf>
    <xf numFmtId="0" fontId="34" fillId="11" borderId="8" xfId="0" applyFont="1" applyFill="1" applyBorder="1" applyAlignment="1">
      <alignment horizontal="center" vertical="center"/>
    </xf>
    <xf numFmtId="0" fontId="24" fillId="11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8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31" fillId="11" borderId="8" xfId="0" applyFont="1" applyFill="1" applyBorder="1" applyAlignment="1">
      <alignment horizontal="center"/>
    </xf>
    <xf numFmtId="0" fontId="32" fillId="11" borderId="8" xfId="0" applyFont="1" applyFill="1" applyBorder="1" applyAlignment="1">
      <alignment horizontal="center"/>
    </xf>
    <xf numFmtId="0" fontId="32" fillId="11" borderId="9" xfId="0" applyFont="1" applyFill="1" applyBorder="1" applyAlignment="1">
      <alignment horizontal="center"/>
    </xf>
    <xf numFmtId="0" fontId="0" fillId="0" borderId="2" xfId="0" applyBorder="1"/>
    <xf numFmtId="0" fontId="13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2" borderId="0" xfId="0" applyFont="1" applyFill="1" applyAlignment="1">
      <alignment horizontal="left"/>
    </xf>
    <xf numFmtId="0" fontId="0" fillId="0" borderId="4" xfId="0" applyBorder="1"/>
    <xf numFmtId="0" fontId="0" fillId="0" borderId="11" xfId="0" applyBorder="1"/>
    <xf numFmtId="0" fontId="0" fillId="0" borderId="6" xfId="0" applyBorder="1"/>
    <xf numFmtId="0" fontId="13" fillId="0" borderId="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4" fillId="11" borderId="10" xfId="0" applyFont="1" applyFill="1" applyBorder="1" applyAlignment="1">
      <alignment horizontal="center"/>
    </xf>
    <xf numFmtId="164" fontId="8" fillId="11" borderId="11" xfId="0" applyNumberFormat="1" applyFont="1" applyFill="1" applyBorder="1" applyAlignment="1">
      <alignment horizontal="left"/>
    </xf>
    <xf numFmtId="0" fontId="14" fillId="11" borderId="5" xfId="0" applyFont="1" applyFill="1" applyBorder="1" applyAlignment="1">
      <alignment horizontal="center"/>
    </xf>
    <xf numFmtId="0" fontId="23" fillId="12" borderId="3" xfId="0" applyFont="1" applyFill="1" applyBorder="1" applyAlignment="1">
      <alignment horizontal="center" vertical="center"/>
    </xf>
    <xf numFmtId="0" fontId="14" fillId="13" borderId="12" xfId="0" applyFont="1" applyFill="1" applyBorder="1" applyAlignment="1">
      <alignment horizontal="center" vertical="center"/>
    </xf>
    <xf numFmtId="0" fontId="14" fillId="13" borderId="4" xfId="0" applyFont="1" applyFill="1" applyBorder="1" applyAlignment="1">
      <alignment horizontal="center" vertical="center"/>
    </xf>
    <xf numFmtId="6" fontId="14" fillId="0" borderId="10" xfId="0" applyNumberFormat="1" applyFont="1" applyBorder="1"/>
    <xf numFmtId="6" fontId="14" fillId="0" borderId="5" xfId="0" applyNumberFormat="1" applyFont="1" applyBorder="1"/>
    <xf numFmtId="164" fontId="14" fillId="0" borderId="0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6" fontId="14" fillId="0" borderId="11" xfId="0" applyNumberFormat="1" applyFont="1" applyBorder="1" applyAlignment="1">
      <alignment horizontal="center"/>
    </xf>
    <xf numFmtId="166" fontId="14" fillId="0" borderId="6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workbookViewId="0">
      <selection activeCell="A13" sqref="A13:D33"/>
    </sheetView>
  </sheetViews>
  <sheetFormatPr baseColWidth="10" defaultColWidth="8.83203125" defaultRowHeight="15" x14ac:dyDescent="0.2"/>
  <cols>
    <col min="1" max="1" width="60" customWidth="1"/>
    <col min="2" max="2" width="27" customWidth="1"/>
    <col min="3" max="3" width="15" customWidth="1"/>
    <col min="4" max="4" width="19" customWidth="1"/>
    <col min="5" max="5" width="16" customWidth="1"/>
    <col min="6" max="6" width="23" customWidth="1"/>
    <col min="7" max="7" width="28" customWidth="1"/>
  </cols>
  <sheetData>
    <row r="1" spans="1:7" ht="25" x14ac:dyDescent="0.25">
      <c r="A1" s="28" t="s">
        <v>0</v>
      </c>
      <c r="B1" s="29"/>
      <c r="C1" s="29"/>
      <c r="D1" s="29"/>
      <c r="E1" s="29"/>
      <c r="F1" s="29"/>
    </row>
    <row r="2" spans="1:7" x14ac:dyDescent="0.2">
      <c r="A2" s="27" t="s">
        <v>1</v>
      </c>
      <c r="B2" s="26"/>
      <c r="C2" s="26"/>
      <c r="D2" s="26"/>
      <c r="E2" s="26"/>
      <c r="F2" s="26"/>
    </row>
    <row r="4" spans="1:7" ht="19" x14ac:dyDescent="0.25">
      <c r="A4" s="30" t="s">
        <v>2</v>
      </c>
      <c r="B4" s="13"/>
      <c r="C4" s="13"/>
      <c r="D4" s="13"/>
      <c r="E4" s="13"/>
      <c r="F4" s="13"/>
      <c r="G4" s="13"/>
    </row>
    <row r="6" spans="1:7" s="22" customFormat="1" ht="14" x14ac:dyDescent="0.15">
      <c r="A6" s="31" t="s">
        <v>3</v>
      </c>
      <c r="B6" s="31" t="s">
        <v>4</v>
      </c>
      <c r="C6" s="31" t="s">
        <v>5</v>
      </c>
      <c r="D6" s="31" t="s">
        <v>6</v>
      </c>
      <c r="E6" s="31" t="s">
        <v>7</v>
      </c>
      <c r="F6" s="31" t="s">
        <v>8</v>
      </c>
      <c r="G6" s="31" t="s">
        <v>9</v>
      </c>
    </row>
    <row r="7" spans="1:7" x14ac:dyDescent="0.2">
      <c r="A7" s="21" t="s">
        <v>10</v>
      </c>
      <c r="B7" s="21" t="s">
        <v>11</v>
      </c>
      <c r="C7" s="21" t="s">
        <v>12</v>
      </c>
      <c r="D7" s="24">
        <v>50</v>
      </c>
      <c r="E7" s="25">
        <v>0.06</v>
      </c>
      <c r="F7" s="23">
        <f>'Luna Freeman'!F19</f>
        <v>8382.9855833542479</v>
      </c>
      <c r="G7" s="21" t="s">
        <v>13</v>
      </c>
    </row>
    <row r="8" spans="1:7" x14ac:dyDescent="0.2">
      <c r="A8" s="21" t="s">
        <v>14</v>
      </c>
      <c r="B8" s="21" t="s">
        <v>15</v>
      </c>
      <c r="C8" s="21" t="s">
        <v>16</v>
      </c>
      <c r="D8" s="24">
        <v>150</v>
      </c>
      <c r="E8" s="25">
        <v>0.08</v>
      </c>
      <c r="F8" s="23">
        <f>'Maya Orion'!F19</f>
        <v>28161.877433728721</v>
      </c>
      <c r="G8" s="21" t="s">
        <v>17</v>
      </c>
    </row>
    <row r="9" spans="1:7" x14ac:dyDescent="0.2">
      <c r="A9" s="21" t="s">
        <v>18</v>
      </c>
      <c r="B9" s="21" t="s">
        <v>19</v>
      </c>
      <c r="C9" s="21" t="s">
        <v>20</v>
      </c>
      <c r="D9" s="24">
        <v>300</v>
      </c>
      <c r="E9" s="25">
        <v>7.0000000000000007E-2</v>
      </c>
      <c r="F9" s="23">
        <f>'Robin Goodman'!F19</f>
        <v>53220.957546848651</v>
      </c>
      <c r="G9" s="21" t="s">
        <v>21</v>
      </c>
    </row>
    <row r="12" spans="1:7" ht="19" x14ac:dyDescent="0.25">
      <c r="A12" s="14" t="s">
        <v>22</v>
      </c>
      <c r="B12" s="13"/>
      <c r="C12" s="13"/>
      <c r="D12" s="13"/>
    </row>
    <row r="14" spans="1:7" x14ac:dyDescent="0.2">
      <c r="A14" s="88" t="s">
        <v>23</v>
      </c>
      <c r="B14" s="85"/>
    </row>
    <row r="15" spans="1:7" x14ac:dyDescent="0.2">
      <c r="A15" s="91" t="s">
        <v>24</v>
      </c>
      <c r="B15" s="86"/>
    </row>
    <row r="16" spans="1:7" x14ac:dyDescent="0.2">
      <c r="A16" s="91" t="s">
        <v>25</v>
      </c>
      <c r="B16" s="86"/>
    </row>
    <row r="17" spans="1:4" x14ac:dyDescent="0.2">
      <c r="A17" s="91" t="s">
        <v>26</v>
      </c>
      <c r="B17" s="86"/>
    </row>
    <row r="18" spans="1:4" x14ac:dyDescent="0.2">
      <c r="A18" s="89"/>
      <c r="B18" s="86"/>
    </row>
    <row r="19" spans="1:4" x14ac:dyDescent="0.2">
      <c r="A19" s="90" t="s">
        <v>27</v>
      </c>
      <c r="B19" s="86"/>
    </row>
    <row r="20" spans="1:4" x14ac:dyDescent="0.2">
      <c r="A20" s="91" t="s">
        <v>28</v>
      </c>
      <c r="B20" s="92">
        <f>'Behavioral Impact'!B27</f>
        <v>6655</v>
      </c>
    </row>
    <row r="21" spans="1:4" x14ac:dyDescent="0.2">
      <c r="A21" s="89" t="s">
        <v>29</v>
      </c>
      <c r="B21" s="86"/>
    </row>
    <row r="22" spans="1:4" x14ac:dyDescent="0.2">
      <c r="A22" s="89"/>
      <c r="B22" s="86"/>
    </row>
    <row r="23" spans="1:4" x14ac:dyDescent="0.2">
      <c r="A23" s="90" t="s">
        <v>30</v>
      </c>
      <c r="B23" s="86"/>
    </row>
    <row r="24" spans="1:4" x14ac:dyDescent="0.2">
      <c r="A24" s="91" t="s">
        <v>31</v>
      </c>
      <c r="B24" s="86"/>
    </row>
    <row r="25" spans="1:4" x14ac:dyDescent="0.2">
      <c r="A25" s="93" t="s">
        <v>32</v>
      </c>
      <c r="B25" s="87"/>
    </row>
    <row r="28" spans="1:4" ht="19" x14ac:dyDescent="0.25">
      <c r="A28" s="14" t="s">
        <v>33</v>
      </c>
      <c r="B28" s="13"/>
      <c r="C28" s="13"/>
      <c r="D28" s="13"/>
    </row>
    <row r="30" spans="1:4" x14ac:dyDescent="0.2">
      <c r="A30" s="21" t="s">
        <v>34</v>
      </c>
    </row>
    <row r="31" spans="1:4" x14ac:dyDescent="0.2">
      <c r="A31" s="21" t="s">
        <v>35</v>
      </c>
    </row>
    <row r="32" spans="1:4" x14ac:dyDescent="0.2">
      <c r="A32" s="21" t="s">
        <v>36</v>
      </c>
    </row>
    <row r="33" spans="1:1" x14ac:dyDescent="0.2">
      <c r="A33" s="21" t="s">
        <v>37</v>
      </c>
    </row>
    <row r="34" spans="1:1" x14ac:dyDescent="0.2">
      <c r="A34" s="22"/>
    </row>
  </sheetData>
  <mergeCells count="5">
    <mergeCell ref="A2:F2"/>
    <mergeCell ref="A12:D12"/>
    <mergeCell ref="A1:F1"/>
    <mergeCell ref="A4:G4"/>
    <mergeCell ref="A28:D2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workbookViewId="0">
      <selection activeCell="B33" sqref="B33"/>
    </sheetView>
  </sheetViews>
  <sheetFormatPr baseColWidth="10" defaultColWidth="8.83203125" defaultRowHeight="15" x14ac:dyDescent="0.2"/>
  <cols>
    <col min="1" max="1" width="60" customWidth="1"/>
    <col min="2" max="2" width="42" customWidth="1"/>
    <col min="3" max="3" width="22" customWidth="1"/>
    <col min="4" max="4" width="24" customWidth="1"/>
    <col min="5" max="5" width="20" customWidth="1"/>
    <col min="6" max="6" width="17" customWidth="1"/>
  </cols>
  <sheetData>
    <row r="1" spans="1:6" ht="20" x14ac:dyDescent="0.2">
      <c r="A1" s="32" t="s">
        <v>38</v>
      </c>
      <c r="B1" s="49"/>
      <c r="C1" s="49"/>
      <c r="D1" s="49"/>
      <c r="E1" s="49"/>
      <c r="F1" s="49"/>
    </row>
    <row r="2" spans="1:6" x14ac:dyDescent="0.2">
      <c r="A2" s="21"/>
      <c r="B2" s="21"/>
      <c r="C2" s="21"/>
      <c r="D2" s="21"/>
      <c r="E2" s="21"/>
      <c r="F2" s="21"/>
    </row>
    <row r="3" spans="1:6" x14ac:dyDescent="0.2">
      <c r="A3" s="21" t="s">
        <v>39</v>
      </c>
      <c r="B3" s="33" t="s">
        <v>40</v>
      </c>
      <c r="C3" s="21"/>
      <c r="D3" s="21" t="s">
        <v>41</v>
      </c>
      <c r="E3" s="20">
        <v>23</v>
      </c>
      <c r="F3" s="21"/>
    </row>
    <row r="4" spans="1:6" x14ac:dyDescent="0.2">
      <c r="A4" s="21" t="s">
        <v>42</v>
      </c>
      <c r="B4" s="21" t="s">
        <v>43</v>
      </c>
      <c r="C4" s="21"/>
      <c r="D4" s="21" t="s">
        <v>44</v>
      </c>
      <c r="E4" s="34">
        <v>50</v>
      </c>
      <c r="F4" s="21"/>
    </row>
    <row r="5" spans="1:6" x14ac:dyDescent="0.2">
      <c r="A5" s="21" t="s">
        <v>45</v>
      </c>
      <c r="B5" s="21" t="s">
        <v>46</v>
      </c>
      <c r="C5" s="21"/>
      <c r="D5" s="21" t="s">
        <v>47</v>
      </c>
      <c r="E5" s="35">
        <v>0.06</v>
      </c>
      <c r="F5" s="21"/>
    </row>
    <row r="6" spans="1:6" x14ac:dyDescent="0.2">
      <c r="A6" s="21"/>
      <c r="B6" s="21"/>
      <c r="C6" s="21"/>
      <c r="D6" s="21"/>
      <c r="E6" s="21"/>
      <c r="F6" s="21"/>
    </row>
    <row r="7" spans="1:6" x14ac:dyDescent="0.2">
      <c r="A7" s="21"/>
      <c r="B7" s="21"/>
      <c r="C7" s="21"/>
      <c r="D7" s="21"/>
      <c r="E7" s="21"/>
      <c r="F7" s="21"/>
    </row>
    <row r="8" spans="1:6" x14ac:dyDescent="0.2">
      <c r="A8" s="36" t="s">
        <v>48</v>
      </c>
      <c r="B8" s="36" t="s">
        <v>49</v>
      </c>
      <c r="C8" s="36" t="s">
        <v>50</v>
      </c>
      <c r="D8" s="36" t="s">
        <v>51</v>
      </c>
      <c r="E8" s="36" t="s">
        <v>52</v>
      </c>
      <c r="F8" s="36" t="s">
        <v>53</v>
      </c>
    </row>
    <row r="9" spans="1:6" x14ac:dyDescent="0.2">
      <c r="A9" s="37">
        <v>23</v>
      </c>
      <c r="B9" s="37">
        <v>1</v>
      </c>
      <c r="C9" s="23">
        <v>600</v>
      </c>
      <c r="D9" s="38">
        <v>0</v>
      </c>
      <c r="E9" s="38">
        <f t="shared" ref="E9:E18" si="0">(D9+C9)*$E$5</f>
        <v>36</v>
      </c>
      <c r="F9" s="38">
        <f t="shared" ref="F9:F18" si="1">D9+C9+E9</f>
        <v>636</v>
      </c>
    </row>
    <row r="10" spans="1:6" x14ac:dyDescent="0.2">
      <c r="A10" s="37">
        <v>24</v>
      </c>
      <c r="B10" s="37">
        <v>2</v>
      </c>
      <c r="C10" s="23">
        <v>600</v>
      </c>
      <c r="D10" s="38">
        <f t="shared" ref="D10:D18" si="2">F9</f>
        <v>636</v>
      </c>
      <c r="E10" s="38">
        <f t="shared" si="0"/>
        <v>74.16</v>
      </c>
      <c r="F10" s="38">
        <f t="shared" si="1"/>
        <v>1310.1600000000001</v>
      </c>
    </row>
    <row r="11" spans="1:6" x14ac:dyDescent="0.2">
      <c r="A11" s="37">
        <v>25</v>
      </c>
      <c r="B11" s="37">
        <v>3</v>
      </c>
      <c r="C11" s="23">
        <v>600</v>
      </c>
      <c r="D11" s="38">
        <f t="shared" si="2"/>
        <v>1310.1600000000001</v>
      </c>
      <c r="E11" s="38">
        <f t="shared" si="0"/>
        <v>114.6096</v>
      </c>
      <c r="F11" s="38">
        <f t="shared" si="1"/>
        <v>2024.7696000000001</v>
      </c>
    </row>
    <row r="12" spans="1:6" x14ac:dyDescent="0.2">
      <c r="A12" s="37">
        <v>26</v>
      </c>
      <c r="B12" s="37">
        <v>4</v>
      </c>
      <c r="C12" s="23">
        <v>600</v>
      </c>
      <c r="D12" s="38">
        <f t="shared" si="2"/>
        <v>2024.7696000000001</v>
      </c>
      <c r="E12" s="38">
        <f t="shared" si="0"/>
        <v>157.486176</v>
      </c>
      <c r="F12" s="38">
        <f t="shared" si="1"/>
        <v>2782.255776</v>
      </c>
    </row>
    <row r="13" spans="1:6" x14ac:dyDescent="0.2">
      <c r="A13" s="37">
        <v>27</v>
      </c>
      <c r="B13" s="37">
        <v>5</v>
      </c>
      <c r="C13" s="23">
        <v>600</v>
      </c>
      <c r="D13" s="38">
        <f t="shared" si="2"/>
        <v>2782.255776</v>
      </c>
      <c r="E13" s="38">
        <f t="shared" si="0"/>
        <v>202.93534656</v>
      </c>
      <c r="F13" s="38">
        <f t="shared" si="1"/>
        <v>3585.1911225600002</v>
      </c>
    </row>
    <row r="14" spans="1:6" x14ac:dyDescent="0.2">
      <c r="A14" s="37">
        <v>28</v>
      </c>
      <c r="B14" s="37">
        <v>6</v>
      </c>
      <c r="C14" s="23">
        <v>600</v>
      </c>
      <c r="D14" s="38">
        <f t="shared" si="2"/>
        <v>3585.1911225600002</v>
      </c>
      <c r="E14" s="38">
        <f t="shared" si="0"/>
        <v>251.11146735359998</v>
      </c>
      <c r="F14" s="38">
        <f t="shared" si="1"/>
        <v>4436.3025899136001</v>
      </c>
    </row>
    <row r="15" spans="1:6" x14ac:dyDescent="0.2">
      <c r="A15" s="37">
        <v>29</v>
      </c>
      <c r="B15" s="37">
        <v>7</v>
      </c>
      <c r="C15" s="23">
        <v>600</v>
      </c>
      <c r="D15" s="38">
        <f t="shared" si="2"/>
        <v>4436.3025899136001</v>
      </c>
      <c r="E15" s="38">
        <f t="shared" si="0"/>
        <v>302.17815539481597</v>
      </c>
      <c r="F15" s="38">
        <f t="shared" si="1"/>
        <v>5338.4807453084159</v>
      </c>
    </row>
    <row r="16" spans="1:6" x14ac:dyDescent="0.2">
      <c r="A16" s="37">
        <v>30</v>
      </c>
      <c r="B16" s="37">
        <v>8</v>
      </c>
      <c r="C16" s="23">
        <v>600</v>
      </c>
      <c r="D16" s="38">
        <f t="shared" si="2"/>
        <v>5338.4807453084159</v>
      </c>
      <c r="E16" s="38">
        <f t="shared" si="0"/>
        <v>356.30884471850493</v>
      </c>
      <c r="F16" s="38">
        <f t="shared" si="1"/>
        <v>6294.7895900269205</v>
      </c>
    </row>
    <row r="17" spans="1:6" x14ac:dyDescent="0.2">
      <c r="A17" s="37">
        <v>31</v>
      </c>
      <c r="B17" s="37">
        <v>9</v>
      </c>
      <c r="C17" s="23">
        <v>600</v>
      </c>
      <c r="D17" s="38">
        <f t="shared" si="2"/>
        <v>6294.7895900269205</v>
      </c>
      <c r="E17" s="38">
        <f t="shared" si="0"/>
        <v>413.68737540161521</v>
      </c>
      <c r="F17" s="38">
        <f t="shared" si="1"/>
        <v>7308.4769654285356</v>
      </c>
    </row>
    <row r="18" spans="1:6" x14ac:dyDescent="0.2">
      <c r="A18" s="37">
        <v>32</v>
      </c>
      <c r="B18" s="37">
        <v>10</v>
      </c>
      <c r="C18" s="23">
        <v>600</v>
      </c>
      <c r="D18" s="38">
        <f t="shared" si="2"/>
        <v>7308.4769654285356</v>
      </c>
      <c r="E18" s="38">
        <f t="shared" si="0"/>
        <v>474.50861792571209</v>
      </c>
      <c r="F18" s="38">
        <f t="shared" si="1"/>
        <v>8382.9855833542479</v>
      </c>
    </row>
    <row r="19" spans="1:6" ht="16" x14ac:dyDescent="0.2">
      <c r="A19" s="20" t="s">
        <v>54</v>
      </c>
      <c r="B19" s="20" t="s">
        <v>55</v>
      </c>
      <c r="C19" s="34">
        <f>SUM(C9:C18)</f>
        <v>6000</v>
      </c>
      <c r="D19" s="21"/>
      <c r="E19" s="34">
        <f>SUM(E9:E18)</f>
        <v>2382.9855833542479</v>
      </c>
      <c r="F19" s="39">
        <f>F18</f>
        <v>8382.9855833542479</v>
      </c>
    </row>
    <row r="20" spans="1:6" x14ac:dyDescent="0.2">
      <c r="A20" s="21"/>
      <c r="B20" s="21"/>
      <c r="C20" s="21"/>
      <c r="D20" s="21"/>
      <c r="E20" s="21"/>
      <c r="F20" s="21"/>
    </row>
    <row r="21" spans="1:6" x14ac:dyDescent="0.2">
      <c r="A21" s="60" t="s">
        <v>56</v>
      </c>
      <c r="B21" s="21"/>
      <c r="C21" s="21"/>
      <c r="D21" s="21"/>
      <c r="E21" s="21"/>
      <c r="F21" s="21"/>
    </row>
    <row r="22" spans="1:6" ht="31" x14ac:dyDescent="0.2">
      <c r="A22" s="65" t="s">
        <v>57</v>
      </c>
      <c r="B22" s="21"/>
      <c r="C22" s="21"/>
      <c r="D22" s="21"/>
      <c r="E22" s="21"/>
      <c r="F22" s="21"/>
    </row>
    <row r="23" spans="1:6" x14ac:dyDescent="0.2">
      <c r="A23" s="21"/>
      <c r="B23" s="21"/>
      <c r="C23" s="21"/>
      <c r="D23" s="21"/>
      <c r="E23" s="21"/>
      <c r="F23" s="21"/>
    </row>
    <row r="24" spans="1:6" ht="16" x14ac:dyDescent="0.2">
      <c r="A24" s="62" t="s">
        <v>58</v>
      </c>
      <c r="B24" s="63"/>
      <c r="C24" s="63"/>
      <c r="D24" s="21"/>
      <c r="E24" s="21"/>
      <c r="F24" s="21"/>
    </row>
    <row r="25" spans="1:6" x14ac:dyDescent="0.2">
      <c r="A25" s="44" t="s">
        <v>59</v>
      </c>
      <c r="B25" s="44" t="s">
        <v>8</v>
      </c>
      <c r="C25" s="44" t="s">
        <v>60</v>
      </c>
      <c r="D25" s="21"/>
      <c r="E25" s="21"/>
      <c r="F25" s="21"/>
    </row>
    <row r="26" spans="1:6" x14ac:dyDescent="0.2">
      <c r="A26" s="43">
        <v>25</v>
      </c>
      <c r="B26" s="45">
        <f>FV($E$5/12,120,-25,0,0)</f>
        <v>4096.9836701614013</v>
      </c>
      <c r="C26" s="61">
        <f>25*12/40000</f>
        <v>7.4999999999999997E-3</v>
      </c>
      <c r="D26" s="21"/>
      <c r="E26" s="21"/>
      <c r="F26" s="21"/>
    </row>
    <row r="27" spans="1:6" x14ac:dyDescent="0.2">
      <c r="A27" s="43">
        <v>50</v>
      </c>
      <c r="B27" s="45">
        <f>FV($E$5/12,120,-50,0,0)</f>
        <v>8193.9673403228026</v>
      </c>
      <c r="C27" s="61">
        <f>50*12/40000</f>
        <v>1.4999999999999999E-2</v>
      </c>
      <c r="D27" s="21"/>
      <c r="E27" s="21"/>
      <c r="F27" s="21"/>
    </row>
    <row r="28" spans="1:6" x14ac:dyDescent="0.2">
      <c r="A28" s="43">
        <v>75</v>
      </c>
      <c r="B28" s="45">
        <f>FV($E$5/12,120,-75,0,0)</f>
        <v>12290.951010484205</v>
      </c>
      <c r="C28" s="61">
        <f>75*12/40000</f>
        <v>2.2499999999999999E-2</v>
      </c>
      <c r="D28" s="21"/>
      <c r="E28" s="21"/>
      <c r="F28" s="21"/>
    </row>
    <row r="29" spans="1:6" x14ac:dyDescent="0.2">
      <c r="A29" s="43">
        <v>100</v>
      </c>
      <c r="B29" s="45">
        <f>FV($E$5/12,120,-100,0,0)</f>
        <v>16387.934680645605</v>
      </c>
      <c r="C29" s="61">
        <f>100*12/40000</f>
        <v>0.03</v>
      </c>
      <c r="D29" s="21"/>
      <c r="E29" s="21"/>
      <c r="F29" s="21"/>
    </row>
    <row r="30" spans="1:6" x14ac:dyDescent="0.2">
      <c r="A30" s="21"/>
      <c r="B30" s="21"/>
      <c r="C30" s="21"/>
      <c r="D30" s="21"/>
      <c r="E30" s="21"/>
      <c r="F30" s="21"/>
    </row>
    <row r="31" spans="1:6" x14ac:dyDescent="0.2">
      <c r="A31" s="60" t="s">
        <v>61</v>
      </c>
      <c r="B31" s="21"/>
      <c r="C31" s="21"/>
      <c r="D31" s="21"/>
      <c r="E31" s="21"/>
      <c r="F31" s="21"/>
    </row>
    <row r="32" spans="1:6" ht="16" x14ac:dyDescent="0.2">
      <c r="A32" s="64" t="s">
        <v>62</v>
      </c>
      <c r="B32" s="21"/>
      <c r="C32" s="21"/>
      <c r="D32" s="21"/>
      <c r="E32" s="21"/>
      <c r="F32" s="21"/>
    </row>
    <row r="33" spans="1:6" x14ac:dyDescent="0.2">
      <c r="A33" s="66" t="s">
        <v>63</v>
      </c>
      <c r="B33" s="21"/>
      <c r="C33" s="21"/>
      <c r="D33" s="21"/>
      <c r="E33" s="21"/>
      <c r="F33" s="21"/>
    </row>
    <row r="34" spans="1:6" x14ac:dyDescent="0.2">
      <c r="A34" s="21"/>
      <c r="B34" s="21"/>
      <c r="C34" s="21"/>
      <c r="D34" s="21"/>
      <c r="E34" s="21"/>
      <c r="F34" s="21"/>
    </row>
    <row r="35" spans="1:6" x14ac:dyDescent="0.2">
      <c r="A35" s="21"/>
      <c r="B35" s="21"/>
      <c r="C35" s="21"/>
      <c r="D35" s="21"/>
      <c r="E35" s="21"/>
      <c r="F35" s="21"/>
    </row>
    <row r="36" spans="1:6" x14ac:dyDescent="0.2">
      <c r="A36" s="21"/>
      <c r="B36" s="21"/>
      <c r="C36" s="21"/>
      <c r="D36" s="21"/>
      <c r="E36" s="21"/>
      <c r="F36" s="21"/>
    </row>
    <row r="37" spans="1:6" x14ac:dyDescent="0.2">
      <c r="A37" s="21"/>
      <c r="B37" s="21"/>
      <c r="C37" s="21"/>
      <c r="D37" s="21"/>
      <c r="E37" s="21"/>
      <c r="F37" s="21"/>
    </row>
    <row r="38" spans="1:6" x14ac:dyDescent="0.2">
      <c r="A38" s="21"/>
      <c r="B38" s="21"/>
      <c r="C38" s="21"/>
      <c r="D38" s="21"/>
      <c r="E38" s="21"/>
      <c r="F38" s="21"/>
    </row>
    <row r="39" spans="1:6" x14ac:dyDescent="0.2">
      <c r="A39" s="21"/>
      <c r="B39" s="21"/>
      <c r="C39" s="21"/>
      <c r="D39" s="21"/>
      <c r="E39" s="21"/>
      <c r="F39" s="21"/>
    </row>
    <row r="40" spans="1:6" x14ac:dyDescent="0.2">
      <c r="A40" s="21"/>
      <c r="B40" s="21"/>
      <c r="C40" s="21"/>
      <c r="D40" s="21"/>
      <c r="E40" s="21"/>
      <c r="F40" s="21"/>
    </row>
    <row r="41" spans="1:6" x14ac:dyDescent="0.2">
      <c r="A41" s="21"/>
      <c r="B41" s="21"/>
      <c r="C41" s="21"/>
      <c r="D41" s="21"/>
      <c r="E41" s="21"/>
      <c r="F41" s="21"/>
    </row>
  </sheetData>
  <mergeCells count="2">
    <mergeCell ref="A24:C24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6"/>
  <sheetViews>
    <sheetView workbookViewId="0">
      <selection activeCell="B42" sqref="B42"/>
    </sheetView>
  </sheetViews>
  <sheetFormatPr baseColWidth="10" defaultColWidth="8.83203125" defaultRowHeight="15" x14ac:dyDescent="0.2"/>
  <cols>
    <col min="1" max="1" width="46.6640625" customWidth="1"/>
    <col min="2" max="2" width="44" customWidth="1"/>
    <col min="3" max="3" width="22" customWidth="1"/>
    <col min="4" max="4" width="24" customWidth="1"/>
    <col min="5" max="5" width="20" customWidth="1"/>
    <col min="6" max="6" width="17" customWidth="1"/>
  </cols>
  <sheetData>
    <row r="1" spans="1:6" ht="25" x14ac:dyDescent="0.25">
      <c r="A1" s="32" t="s">
        <v>64</v>
      </c>
      <c r="B1" s="41"/>
      <c r="C1" s="41"/>
      <c r="D1" s="41"/>
      <c r="E1" s="41"/>
      <c r="F1" s="41"/>
    </row>
    <row r="2" spans="1:6" x14ac:dyDescent="0.2">
      <c r="A2" s="21"/>
      <c r="B2" s="21"/>
      <c r="C2" s="21"/>
      <c r="D2" s="21"/>
      <c r="E2" s="21"/>
      <c r="F2" s="21"/>
    </row>
    <row r="3" spans="1:6" x14ac:dyDescent="0.2">
      <c r="A3" s="21" t="s">
        <v>39</v>
      </c>
      <c r="B3" s="33" t="s">
        <v>65</v>
      </c>
      <c r="C3" s="21"/>
      <c r="D3" s="21" t="s">
        <v>41</v>
      </c>
      <c r="E3" s="20">
        <v>25</v>
      </c>
      <c r="F3" s="21"/>
    </row>
    <row r="4" spans="1:6" x14ac:dyDescent="0.2">
      <c r="A4" s="21" t="s">
        <v>42</v>
      </c>
      <c r="B4" s="21" t="s">
        <v>66</v>
      </c>
      <c r="C4" s="21"/>
      <c r="D4" s="21" t="s">
        <v>44</v>
      </c>
      <c r="E4" s="34">
        <v>150</v>
      </c>
      <c r="F4" s="21"/>
    </row>
    <row r="5" spans="1:6" x14ac:dyDescent="0.2">
      <c r="A5" s="21" t="s">
        <v>45</v>
      </c>
      <c r="B5" s="21" t="s">
        <v>67</v>
      </c>
      <c r="C5" s="21"/>
      <c r="D5" s="21" t="s">
        <v>47</v>
      </c>
      <c r="E5" s="35">
        <v>0.08</v>
      </c>
      <c r="F5" s="21"/>
    </row>
    <row r="6" spans="1:6" x14ac:dyDescent="0.2">
      <c r="A6" s="21"/>
      <c r="B6" s="21"/>
      <c r="C6" s="21"/>
      <c r="D6" s="21"/>
      <c r="E6" s="21"/>
      <c r="F6" s="21"/>
    </row>
    <row r="7" spans="1:6" x14ac:dyDescent="0.2">
      <c r="A7" s="21"/>
      <c r="B7" s="21"/>
      <c r="C7" s="21"/>
      <c r="D7" s="21"/>
      <c r="E7" s="21"/>
      <c r="F7" s="21"/>
    </row>
    <row r="8" spans="1:6" s="22" customFormat="1" ht="14" x14ac:dyDescent="0.15">
      <c r="A8" s="42" t="s">
        <v>48</v>
      </c>
      <c r="B8" s="42" t="s">
        <v>49</v>
      </c>
      <c r="C8" s="42" t="s">
        <v>50</v>
      </c>
      <c r="D8" s="42" t="s">
        <v>51</v>
      </c>
      <c r="E8" s="42" t="s">
        <v>52</v>
      </c>
      <c r="F8" s="42" t="s">
        <v>53</v>
      </c>
    </row>
    <row r="9" spans="1:6" x14ac:dyDescent="0.2">
      <c r="A9" s="37">
        <v>25</v>
      </c>
      <c r="B9" s="37">
        <v>1</v>
      </c>
      <c r="C9" s="23">
        <v>1800</v>
      </c>
      <c r="D9" s="38">
        <v>0</v>
      </c>
      <c r="E9" s="38">
        <f t="shared" ref="E9:E18" si="0">(D9+C9)*$E$5</f>
        <v>144</v>
      </c>
      <c r="F9" s="38">
        <f t="shared" ref="F9:F18" si="1">D9+C9+E9</f>
        <v>1944</v>
      </c>
    </row>
    <row r="10" spans="1:6" x14ac:dyDescent="0.2">
      <c r="A10" s="37">
        <v>26</v>
      </c>
      <c r="B10" s="37">
        <v>2</v>
      </c>
      <c r="C10" s="23">
        <v>1800</v>
      </c>
      <c r="D10" s="38">
        <f t="shared" ref="D10:D18" si="2">F9</f>
        <v>1944</v>
      </c>
      <c r="E10" s="38">
        <f t="shared" si="0"/>
        <v>299.52</v>
      </c>
      <c r="F10" s="38">
        <f t="shared" si="1"/>
        <v>4043.52</v>
      </c>
    </row>
    <row r="11" spans="1:6" x14ac:dyDescent="0.2">
      <c r="A11" s="37">
        <v>27</v>
      </c>
      <c r="B11" s="37">
        <v>3</v>
      </c>
      <c r="C11" s="23">
        <v>1800</v>
      </c>
      <c r="D11" s="38">
        <f t="shared" si="2"/>
        <v>4043.52</v>
      </c>
      <c r="E11" s="38">
        <f t="shared" si="0"/>
        <v>467.48160000000007</v>
      </c>
      <c r="F11" s="38">
        <f t="shared" si="1"/>
        <v>6311.0016000000005</v>
      </c>
    </row>
    <row r="12" spans="1:6" x14ac:dyDescent="0.2">
      <c r="A12" s="37">
        <v>28</v>
      </c>
      <c r="B12" s="37">
        <v>4</v>
      </c>
      <c r="C12" s="23">
        <v>1800</v>
      </c>
      <c r="D12" s="38">
        <f t="shared" si="2"/>
        <v>6311.0016000000005</v>
      </c>
      <c r="E12" s="38">
        <f t="shared" si="0"/>
        <v>648.88012800000001</v>
      </c>
      <c r="F12" s="38">
        <f t="shared" si="1"/>
        <v>8759.8817280000003</v>
      </c>
    </row>
    <row r="13" spans="1:6" x14ac:dyDescent="0.2">
      <c r="A13" s="37">
        <v>29</v>
      </c>
      <c r="B13" s="37">
        <v>5</v>
      </c>
      <c r="C13" s="23">
        <v>1800</v>
      </c>
      <c r="D13" s="38">
        <f t="shared" si="2"/>
        <v>8759.8817280000003</v>
      </c>
      <c r="E13" s="38">
        <f t="shared" si="0"/>
        <v>844.79053824000005</v>
      </c>
      <c r="F13" s="38">
        <f t="shared" si="1"/>
        <v>11404.672266240001</v>
      </c>
    </row>
    <row r="14" spans="1:6" x14ac:dyDescent="0.2">
      <c r="A14" s="37">
        <v>30</v>
      </c>
      <c r="B14" s="37">
        <v>6</v>
      </c>
      <c r="C14" s="23">
        <v>1800</v>
      </c>
      <c r="D14" s="38">
        <f>F13</f>
        <v>11404.672266240001</v>
      </c>
      <c r="E14" s="38">
        <f t="shared" si="0"/>
        <v>1056.3737812992001</v>
      </c>
      <c r="F14" s="38">
        <f t="shared" si="1"/>
        <v>14261.046047539201</v>
      </c>
    </row>
    <row r="15" spans="1:6" x14ac:dyDescent="0.2">
      <c r="A15" s="37">
        <v>31</v>
      </c>
      <c r="B15" s="37">
        <v>7</v>
      </c>
      <c r="C15" s="23">
        <v>1800</v>
      </c>
      <c r="D15" s="38">
        <f t="shared" si="2"/>
        <v>14261.046047539201</v>
      </c>
      <c r="E15" s="38">
        <f t="shared" si="0"/>
        <v>1284.8836838031361</v>
      </c>
      <c r="F15" s="38">
        <f t="shared" si="1"/>
        <v>17345.929731342338</v>
      </c>
    </row>
    <row r="16" spans="1:6" x14ac:dyDescent="0.2">
      <c r="A16" s="37">
        <v>32</v>
      </c>
      <c r="B16" s="37">
        <v>8</v>
      </c>
      <c r="C16" s="23">
        <v>1800</v>
      </c>
      <c r="D16" s="38">
        <f t="shared" si="2"/>
        <v>17345.929731342338</v>
      </c>
      <c r="E16" s="38">
        <f t="shared" si="0"/>
        <v>1531.674378507387</v>
      </c>
      <c r="F16" s="38">
        <f t="shared" si="1"/>
        <v>20677.604109849726</v>
      </c>
    </row>
    <row r="17" spans="1:6" x14ac:dyDescent="0.2">
      <c r="A17" s="37">
        <v>33</v>
      </c>
      <c r="B17" s="37">
        <v>9</v>
      </c>
      <c r="C17" s="23">
        <v>1800</v>
      </c>
      <c r="D17" s="38">
        <f t="shared" si="2"/>
        <v>20677.604109849726</v>
      </c>
      <c r="E17" s="38">
        <f t="shared" si="0"/>
        <v>1798.2083287879782</v>
      </c>
      <c r="F17" s="38">
        <f t="shared" si="1"/>
        <v>24275.812438637706</v>
      </c>
    </row>
    <row r="18" spans="1:6" x14ac:dyDescent="0.2">
      <c r="A18" s="37">
        <v>34</v>
      </c>
      <c r="B18" s="37">
        <v>10</v>
      </c>
      <c r="C18" s="23">
        <v>1800</v>
      </c>
      <c r="D18" s="38">
        <f t="shared" si="2"/>
        <v>24275.812438637706</v>
      </c>
      <c r="E18" s="38">
        <f t="shared" si="0"/>
        <v>2086.0649950910165</v>
      </c>
      <c r="F18" s="38">
        <f t="shared" si="1"/>
        <v>28161.877433728721</v>
      </c>
    </row>
    <row r="19" spans="1:6" ht="16" x14ac:dyDescent="0.2">
      <c r="A19" s="20" t="s">
        <v>54</v>
      </c>
      <c r="B19" s="20" t="s">
        <v>55</v>
      </c>
      <c r="C19" s="34">
        <f>SUM(C9:C18)</f>
        <v>18000</v>
      </c>
      <c r="D19" s="21"/>
      <c r="E19" s="34">
        <f>SUM(E9:E18)</f>
        <v>10161.877433728718</v>
      </c>
      <c r="F19" s="39">
        <f>F18</f>
        <v>28161.877433728721</v>
      </c>
    </row>
    <row r="20" spans="1:6" x14ac:dyDescent="0.2">
      <c r="A20" s="21"/>
      <c r="B20" s="21"/>
      <c r="C20" s="21"/>
      <c r="D20" s="21"/>
      <c r="E20" s="21"/>
      <c r="F20" s="21"/>
    </row>
    <row r="21" spans="1:6" x14ac:dyDescent="0.2">
      <c r="A21" s="68" t="s">
        <v>56</v>
      </c>
      <c r="B21" s="21"/>
      <c r="C21" s="21"/>
      <c r="D21" s="21"/>
      <c r="E21" s="21"/>
      <c r="F21" s="21"/>
    </row>
    <row r="22" spans="1:6" ht="28" x14ac:dyDescent="0.2">
      <c r="A22" s="69" t="s">
        <v>68</v>
      </c>
      <c r="B22" s="21"/>
      <c r="C22" s="21"/>
      <c r="D22" s="21"/>
      <c r="E22" s="21"/>
      <c r="F22" s="21"/>
    </row>
    <row r="23" spans="1:6" x14ac:dyDescent="0.2">
      <c r="A23" s="21"/>
      <c r="B23" s="21"/>
      <c r="C23" s="21"/>
      <c r="D23" s="21"/>
      <c r="E23" s="21"/>
      <c r="F23" s="21"/>
    </row>
    <row r="24" spans="1:6" ht="16" x14ac:dyDescent="0.2">
      <c r="A24" s="62" t="s">
        <v>58</v>
      </c>
      <c r="B24" s="63"/>
      <c r="C24" s="63"/>
      <c r="D24" s="21"/>
      <c r="E24" s="21"/>
      <c r="F24" s="21"/>
    </row>
    <row r="25" spans="1:6" x14ac:dyDescent="0.2">
      <c r="A25" s="44" t="s">
        <v>59</v>
      </c>
      <c r="B25" s="44" t="s">
        <v>8</v>
      </c>
      <c r="C25" s="46" t="s">
        <v>60</v>
      </c>
      <c r="D25" s="21"/>
      <c r="E25" s="21"/>
      <c r="F25" s="21"/>
    </row>
    <row r="26" spans="1:6" x14ac:dyDescent="0.2">
      <c r="A26" s="43">
        <v>75</v>
      </c>
      <c r="B26" s="45">
        <f>FV($E$5/12,120,-75,0,0)</f>
        <v>13720.952638628036</v>
      </c>
      <c r="C26" s="40">
        <f>75*12/72500</f>
        <v>1.2413793103448275E-2</v>
      </c>
      <c r="D26" s="21"/>
      <c r="E26" s="21"/>
      <c r="F26" s="21"/>
    </row>
    <row r="27" spans="1:6" x14ac:dyDescent="0.2">
      <c r="A27" s="43">
        <v>150</v>
      </c>
      <c r="B27" s="45">
        <f>FV($E$5/12,120,-150,0,0)</f>
        <v>27441.905277256072</v>
      </c>
      <c r="C27" s="40">
        <f>150*12/72500</f>
        <v>2.4827586206896551E-2</v>
      </c>
      <c r="D27" s="21"/>
      <c r="E27" s="21"/>
      <c r="F27" s="21"/>
    </row>
    <row r="28" spans="1:6" x14ac:dyDescent="0.2">
      <c r="A28" s="43">
        <v>200</v>
      </c>
      <c r="B28" s="45">
        <f>FV($E$5/12,120,-200,0,0)</f>
        <v>36589.207036341431</v>
      </c>
      <c r="C28" s="40">
        <f>200*12/72500</f>
        <v>3.310344827586207E-2</v>
      </c>
      <c r="D28" s="21"/>
      <c r="E28" s="21"/>
      <c r="F28" s="21"/>
    </row>
    <row r="29" spans="1:6" x14ac:dyDescent="0.2">
      <c r="A29" s="43">
        <v>250</v>
      </c>
      <c r="B29" s="45">
        <f>FV($E$5/12,120,-250,0,0)</f>
        <v>45736.508795426787</v>
      </c>
      <c r="C29" s="40">
        <f>250*12/72500</f>
        <v>4.1379310344827586E-2</v>
      </c>
      <c r="D29" s="21"/>
      <c r="E29" s="21"/>
      <c r="F29" s="21"/>
    </row>
    <row r="30" spans="1:6" x14ac:dyDescent="0.2">
      <c r="A30" s="21"/>
      <c r="B30" s="21"/>
      <c r="C30" s="21"/>
      <c r="D30" s="21"/>
      <c r="E30" s="21"/>
      <c r="F30" s="21"/>
    </row>
    <row r="31" spans="1:6" ht="16" x14ac:dyDescent="0.2">
      <c r="A31" s="67" t="s">
        <v>61</v>
      </c>
      <c r="B31" s="21"/>
      <c r="C31" s="21"/>
      <c r="D31" s="21"/>
      <c r="E31" s="21"/>
      <c r="F31" s="21"/>
    </row>
    <row r="32" spans="1:6" ht="31" x14ac:dyDescent="0.2">
      <c r="A32" s="64" t="s">
        <v>69</v>
      </c>
      <c r="B32" s="21"/>
      <c r="C32" s="21"/>
      <c r="D32" s="21"/>
      <c r="E32" s="21"/>
      <c r="F32" s="21"/>
    </row>
    <row r="33" spans="1:6" ht="31" x14ac:dyDescent="0.2">
      <c r="A33" s="65" t="s">
        <v>70</v>
      </c>
      <c r="B33" s="21"/>
      <c r="C33" s="21"/>
      <c r="D33" s="21"/>
      <c r="E33" s="21"/>
      <c r="F33" s="21"/>
    </row>
    <row r="34" spans="1:6" x14ac:dyDescent="0.2">
      <c r="A34" s="21"/>
      <c r="B34" s="21"/>
      <c r="C34" s="21"/>
      <c r="D34" s="21"/>
      <c r="E34" s="21"/>
      <c r="F34" s="21"/>
    </row>
    <row r="35" spans="1:6" x14ac:dyDescent="0.2">
      <c r="A35" s="21"/>
      <c r="B35" s="21"/>
      <c r="C35" s="21"/>
      <c r="D35" s="21"/>
      <c r="E35" s="21"/>
      <c r="F35" s="21"/>
    </row>
    <row r="36" spans="1:6" x14ac:dyDescent="0.2">
      <c r="A36" s="21"/>
      <c r="B36" s="21"/>
      <c r="C36" s="21"/>
      <c r="D36" s="21"/>
      <c r="E36" s="21"/>
      <c r="F36" s="21"/>
    </row>
    <row r="37" spans="1:6" x14ac:dyDescent="0.2">
      <c r="A37" s="21"/>
      <c r="B37" s="21"/>
      <c r="C37" s="21"/>
      <c r="D37" s="21"/>
      <c r="E37" s="21"/>
      <c r="F37" s="21"/>
    </row>
    <row r="38" spans="1:6" x14ac:dyDescent="0.2">
      <c r="A38" s="21"/>
      <c r="B38" s="21"/>
      <c r="C38" s="21"/>
      <c r="D38" s="21"/>
      <c r="E38" s="21"/>
      <c r="F38" s="21"/>
    </row>
    <row r="39" spans="1:6" x14ac:dyDescent="0.2">
      <c r="A39" s="21"/>
      <c r="B39" s="21"/>
      <c r="C39" s="21"/>
      <c r="D39" s="21"/>
      <c r="E39" s="21"/>
      <c r="F39" s="21"/>
    </row>
    <row r="40" spans="1:6" x14ac:dyDescent="0.2">
      <c r="A40" s="21"/>
      <c r="B40" s="21"/>
      <c r="C40" s="21"/>
      <c r="D40" s="21"/>
      <c r="E40" s="21"/>
      <c r="F40" s="21"/>
    </row>
    <row r="41" spans="1:6" x14ac:dyDescent="0.2">
      <c r="A41" s="21"/>
      <c r="B41" s="21"/>
      <c r="C41" s="21"/>
      <c r="D41" s="21"/>
      <c r="E41" s="21"/>
      <c r="F41" s="21"/>
    </row>
    <row r="42" spans="1:6" x14ac:dyDescent="0.2">
      <c r="A42" s="21"/>
      <c r="B42" s="21"/>
      <c r="C42" s="21"/>
      <c r="D42" s="21"/>
      <c r="E42" s="21"/>
      <c r="F42" s="21"/>
    </row>
    <row r="43" spans="1:6" x14ac:dyDescent="0.2">
      <c r="A43" s="21"/>
      <c r="B43" s="21"/>
      <c r="C43" s="21"/>
      <c r="D43" s="21"/>
      <c r="E43" s="21"/>
      <c r="F43" s="21"/>
    </row>
    <row r="44" spans="1:6" x14ac:dyDescent="0.2">
      <c r="A44" s="21"/>
      <c r="B44" s="21"/>
      <c r="C44" s="21"/>
      <c r="D44" s="21"/>
      <c r="E44" s="21"/>
      <c r="F44" s="21"/>
    </row>
    <row r="45" spans="1:6" x14ac:dyDescent="0.2">
      <c r="A45" s="21"/>
      <c r="B45" s="21"/>
      <c r="C45" s="21"/>
      <c r="D45" s="21"/>
      <c r="E45" s="21"/>
      <c r="F45" s="21"/>
    </row>
    <row r="46" spans="1:6" x14ac:dyDescent="0.2">
      <c r="A46" s="21"/>
      <c r="B46" s="21"/>
      <c r="C46" s="21"/>
      <c r="D46" s="21"/>
      <c r="E46" s="21"/>
      <c r="F46" s="21"/>
    </row>
  </sheetData>
  <mergeCells count="2">
    <mergeCell ref="A24:C24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"/>
  <sheetViews>
    <sheetView tabSelected="1" workbookViewId="0">
      <selection activeCell="C5" sqref="C5"/>
    </sheetView>
  </sheetViews>
  <sheetFormatPr baseColWidth="10" defaultColWidth="8.83203125" defaultRowHeight="15" x14ac:dyDescent="0.2"/>
  <cols>
    <col min="1" max="1" width="59.6640625" customWidth="1"/>
    <col min="2" max="2" width="50" customWidth="1"/>
    <col min="3" max="3" width="22" customWidth="1"/>
    <col min="4" max="4" width="24" customWidth="1"/>
    <col min="5" max="5" width="20" customWidth="1"/>
    <col min="6" max="6" width="17" customWidth="1"/>
  </cols>
  <sheetData>
    <row r="1" spans="1:7" ht="20" x14ac:dyDescent="0.2">
      <c r="A1" s="47" t="s">
        <v>71</v>
      </c>
      <c r="B1" s="48"/>
      <c r="C1" s="48"/>
      <c r="D1" s="48"/>
      <c r="E1" s="48"/>
      <c r="F1" s="48"/>
      <c r="G1" s="21"/>
    </row>
    <row r="2" spans="1:7" x14ac:dyDescent="0.2">
      <c r="A2" s="21"/>
      <c r="B2" s="21"/>
      <c r="C2" s="21"/>
      <c r="D2" s="21"/>
      <c r="E2" s="21"/>
      <c r="F2" s="21"/>
      <c r="G2" s="21"/>
    </row>
    <row r="3" spans="1:7" x14ac:dyDescent="0.2">
      <c r="A3" s="21" t="s">
        <v>39</v>
      </c>
      <c r="B3" s="33" t="s">
        <v>72</v>
      </c>
      <c r="C3" s="21"/>
      <c r="D3" s="21" t="s">
        <v>41</v>
      </c>
      <c r="E3" s="20">
        <v>26</v>
      </c>
      <c r="F3" s="21"/>
      <c r="G3" s="21"/>
    </row>
    <row r="4" spans="1:7" x14ac:dyDescent="0.2">
      <c r="A4" s="21" t="s">
        <v>42</v>
      </c>
      <c r="B4" s="21" t="s">
        <v>73</v>
      </c>
      <c r="C4" s="21"/>
      <c r="D4" s="21" t="s">
        <v>44</v>
      </c>
      <c r="E4" s="34">
        <v>300</v>
      </c>
      <c r="F4" s="21"/>
      <c r="G4" s="21"/>
    </row>
    <row r="5" spans="1:7" x14ac:dyDescent="0.2">
      <c r="A5" s="21" t="s">
        <v>45</v>
      </c>
      <c r="B5" s="21" t="s">
        <v>74</v>
      </c>
      <c r="C5" s="21"/>
      <c r="D5" s="21" t="s">
        <v>47</v>
      </c>
      <c r="E5" s="35">
        <v>7.0000000000000007E-2</v>
      </c>
      <c r="F5" s="21"/>
      <c r="G5" s="21"/>
    </row>
    <row r="6" spans="1:7" x14ac:dyDescent="0.2">
      <c r="A6" s="21"/>
      <c r="B6" s="21"/>
      <c r="C6" s="21"/>
      <c r="D6" s="21"/>
      <c r="E6" s="21"/>
      <c r="F6" s="21"/>
      <c r="G6" s="21"/>
    </row>
    <row r="7" spans="1:7" x14ac:dyDescent="0.2">
      <c r="A7" s="21"/>
      <c r="B7" s="21"/>
      <c r="C7" s="21"/>
      <c r="D7" s="21"/>
      <c r="E7" s="21"/>
      <c r="F7" s="21"/>
      <c r="G7" s="21"/>
    </row>
    <row r="8" spans="1:7" x14ac:dyDescent="0.2">
      <c r="A8" s="36" t="s">
        <v>48</v>
      </c>
      <c r="B8" s="36" t="s">
        <v>49</v>
      </c>
      <c r="C8" s="36" t="s">
        <v>50</v>
      </c>
      <c r="D8" s="36" t="s">
        <v>51</v>
      </c>
      <c r="E8" s="36" t="s">
        <v>52</v>
      </c>
      <c r="F8" s="36" t="s">
        <v>53</v>
      </c>
      <c r="G8" s="21"/>
    </row>
    <row r="9" spans="1:7" x14ac:dyDescent="0.2">
      <c r="A9" s="37">
        <v>26</v>
      </c>
      <c r="B9" s="37">
        <v>1</v>
      </c>
      <c r="C9" s="23">
        <v>3600</v>
      </c>
      <c r="D9" s="38">
        <v>0</v>
      </c>
      <c r="E9" s="38">
        <f t="shared" ref="E9:E18" si="0">(D9+C9)*$E$5</f>
        <v>252.00000000000003</v>
      </c>
      <c r="F9" s="38">
        <f t="shared" ref="F9:F18" si="1">D9+C9+E9</f>
        <v>3852</v>
      </c>
      <c r="G9" s="21"/>
    </row>
    <row r="10" spans="1:7" x14ac:dyDescent="0.2">
      <c r="A10" s="37">
        <v>27</v>
      </c>
      <c r="B10" s="37">
        <v>2</v>
      </c>
      <c r="C10" s="23">
        <v>3600</v>
      </c>
      <c r="D10" s="38">
        <f t="shared" ref="D10:D18" si="2">F9</f>
        <v>3852</v>
      </c>
      <c r="E10" s="38">
        <f t="shared" si="0"/>
        <v>521.6400000000001</v>
      </c>
      <c r="F10" s="38">
        <f t="shared" si="1"/>
        <v>7973.64</v>
      </c>
      <c r="G10" s="21"/>
    </row>
    <row r="11" spans="1:7" x14ac:dyDescent="0.2">
      <c r="A11" s="37">
        <v>28</v>
      </c>
      <c r="B11" s="37">
        <v>3</v>
      </c>
      <c r="C11" s="23">
        <v>3600</v>
      </c>
      <c r="D11" s="38">
        <f t="shared" si="2"/>
        <v>7973.64</v>
      </c>
      <c r="E11" s="38">
        <f t="shared" si="0"/>
        <v>810.15480000000002</v>
      </c>
      <c r="F11" s="38">
        <f t="shared" si="1"/>
        <v>12383.7948</v>
      </c>
      <c r="G11" s="21"/>
    </row>
    <row r="12" spans="1:7" x14ac:dyDescent="0.2">
      <c r="A12" s="37">
        <v>29</v>
      </c>
      <c r="B12" s="37">
        <v>4</v>
      </c>
      <c r="C12" s="23">
        <v>3600</v>
      </c>
      <c r="D12" s="38">
        <f t="shared" si="2"/>
        <v>12383.7948</v>
      </c>
      <c r="E12" s="38">
        <f t="shared" si="0"/>
        <v>1118.865636</v>
      </c>
      <c r="F12" s="38">
        <f t="shared" si="1"/>
        <v>17102.660435999998</v>
      </c>
      <c r="G12" s="21"/>
    </row>
    <row r="13" spans="1:7" x14ac:dyDescent="0.2">
      <c r="A13" s="37">
        <v>30</v>
      </c>
      <c r="B13" s="37">
        <v>5</v>
      </c>
      <c r="C13" s="23">
        <v>3600</v>
      </c>
      <c r="D13" s="38">
        <f t="shared" si="2"/>
        <v>17102.660435999998</v>
      </c>
      <c r="E13" s="38">
        <f t="shared" si="0"/>
        <v>1449.18623052</v>
      </c>
      <c r="F13" s="38">
        <f t="shared" si="1"/>
        <v>22151.846666519999</v>
      </c>
      <c r="G13" s="21"/>
    </row>
    <row r="14" spans="1:7" x14ac:dyDescent="0.2">
      <c r="A14" s="37">
        <v>31</v>
      </c>
      <c r="B14" s="37">
        <v>6</v>
      </c>
      <c r="C14" s="23">
        <v>3600</v>
      </c>
      <c r="D14" s="38">
        <f t="shared" si="2"/>
        <v>22151.846666519999</v>
      </c>
      <c r="E14" s="38">
        <f t="shared" si="0"/>
        <v>1802.6292666564002</v>
      </c>
      <c r="F14" s="38">
        <f t="shared" si="1"/>
        <v>27554.4759331764</v>
      </c>
      <c r="G14" s="21"/>
    </row>
    <row r="15" spans="1:7" x14ac:dyDescent="0.2">
      <c r="A15" s="37">
        <v>32</v>
      </c>
      <c r="B15" s="37">
        <v>7</v>
      </c>
      <c r="C15" s="23">
        <v>3600</v>
      </c>
      <c r="D15" s="38">
        <f t="shared" si="2"/>
        <v>27554.4759331764</v>
      </c>
      <c r="E15" s="38">
        <f t="shared" si="0"/>
        <v>2180.813315322348</v>
      </c>
      <c r="F15" s="38">
        <f t="shared" si="1"/>
        <v>33335.289248498746</v>
      </c>
      <c r="G15" s="21"/>
    </row>
    <row r="16" spans="1:7" x14ac:dyDescent="0.2">
      <c r="A16" s="37">
        <v>33</v>
      </c>
      <c r="B16" s="37">
        <v>8</v>
      </c>
      <c r="C16" s="23">
        <v>3600</v>
      </c>
      <c r="D16" s="38">
        <f t="shared" si="2"/>
        <v>33335.289248498746</v>
      </c>
      <c r="E16" s="38">
        <f t="shared" si="0"/>
        <v>2585.4702473949123</v>
      </c>
      <c r="F16" s="38">
        <f t="shared" si="1"/>
        <v>39520.759495893661</v>
      </c>
      <c r="G16" s="21"/>
    </row>
    <row r="17" spans="1:7" x14ac:dyDescent="0.2">
      <c r="A17" s="37">
        <v>34</v>
      </c>
      <c r="B17" s="37">
        <v>9</v>
      </c>
      <c r="C17" s="23">
        <v>3600</v>
      </c>
      <c r="D17" s="38">
        <f t="shared" si="2"/>
        <v>39520.759495893661</v>
      </c>
      <c r="E17" s="38">
        <f t="shared" si="0"/>
        <v>3018.4531647125564</v>
      </c>
      <c r="F17" s="38">
        <f t="shared" si="1"/>
        <v>46139.212660606216</v>
      </c>
      <c r="G17" s="21"/>
    </row>
    <row r="18" spans="1:7" x14ac:dyDescent="0.2">
      <c r="A18" s="37">
        <v>35</v>
      </c>
      <c r="B18" s="37">
        <v>10</v>
      </c>
      <c r="C18" s="23">
        <v>3600</v>
      </c>
      <c r="D18" s="38">
        <f t="shared" si="2"/>
        <v>46139.212660606216</v>
      </c>
      <c r="E18" s="38">
        <f t="shared" si="0"/>
        <v>3481.7448862424353</v>
      </c>
      <c r="F18" s="38">
        <f t="shared" si="1"/>
        <v>53220.957546848651</v>
      </c>
      <c r="G18" s="21"/>
    </row>
    <row r="19" spans="1:7" ht="16" x14ac:dyDescent="0.2">
      <c r="A19" s="20" t="s">
        <v>54</v>
      </c>
      <c r="B19" s="20" t="s">
        <v>55</v>
      </c>
      <c r="C19" s="34">
        <f>SUM(C9:C18)</f>
        <v>36000</v>
      </c>
      <c r="D19" s="21"/>
      <c r="E19" s="34">
        <f>SUM(E9:E18)</f>
        <v>17220.957546848651</v>
      </c>
      <c r="F19" s="39">
        <f>F18</f>
        <v>53220.957546848651</v>
      </c>
      <c r="G19" s="21"/>
    </row>
    <row r="20" spans="1:7" x14ac:dyDescent="0.2">
      <c r="A20" s="21"/>
      <c r="B20" s="21"/>
      <c r="C20" s="21"/>
      <c r="D20" s="21"/>
      <c r="E20" s="21"/>
      <c r="F20" s="21"/>
      <c r="G20" s="21"/>
    </row>
    <row r="21" spans="1:7" x14ac:dyDescent="0.2">
      <c r="A21" s="70" t="s">
        <v>56</v>
      </c>
      <c r="B21" s="21"/>
      <c r="C21" s="21"/>
      <c r="D21" s="21"/>
      <c r="E21" s="21"/>
      <c r="F21" s="21"/>
      <c r="G21" s="21"/>
    </row>
    <row r="22" spans="1:7" x14ac:dyDescent="0.2">
      <c r="A22" s="73" t="s">
        <v>75</v>
      </c>
      <c r="B22" s="21"/>
      <c r="C22" s="21"/>
      <c r="D22" s="21"/>
      <c r="E22" s="21"/>
      <c r="F22" s="21"/>
      <c r="G22" s="21"/>
    </row>
    <row r="23" spans="1:7" x14ac:dyDescent="0.2">
      <c r="A23" s="21"/>
      <c r="B23" s="21"/>
      <c r="C23" s="21"/>
      <c r="D23" s="21"/>
      <c r="E23" s="21"/>
      <c r="F23" s="21"/>
      <c r="G23" s="21"/>
    </row>
    <row r="24" spans="1:7" ht="16" x14ac:dyDescent="0.2">
      <c r="A24" s="94" t="s">
        <v>58</v>
      </c>
      <c r="B24" s="95"/>
      <c r="C24" s="96"/>
      <c r="D24" s="21"/>
      <c r="E24" s="21"/>
      <c r="F24" s="21"/>
      <c r="G24" s="21"/>
    </row>
    <row r="25" spans="1:7" x14ac:dyDescent="0.2">
      <c r="A25" s="105" t="s">
        <v>59</v>
      </c>
      <c r="B25" s="101" t="s">
        <v>8</v>
      </c>
      <c r="C25" s="104" t="s">
        <v>60</v>
      </c>
      <c r="D25" s="21"/>
      <c r="E25" s="21"/>
      <c r="F25" s="21"/>
      <c r="G25" s="21"/>
    </row>
    <row r="26" spans="1:7" x14ac:dyDescent="0.2">
      <c r="A26" s="97">
        <v>150</v>
      </c>
      <c r="B26" s="99">
        <f>FV($E$5/12,120,-150,0,0)</f>
        <v>25962.721115030523</v>
      </c>
      <c r="C26" s="102">
        <f>150*12/85000</f>
        <v>2.1176470588235293E-2</v>
      </c>
      <c r="D26" s="21"/>
      <c r="E26" s="21"/>
      <c r="F26" s="21"/>
      <c r="G26" s="21"/>
    </row>
    <row r="27" spans="1:7" x14ac:dyDescent="0.2">
      <c r="A27" s="97">
        <v>300</v>
      </c>
      <c r="B27" s="99">
        <f>FV($E$5/12,120,-300,0,0)</f>
        <v>51925.442230061046</v>
      </c>
      <c r="C27" s="102">
        <f>300*12/85000</f>
        <v>4.2352941176470586E-2</v>
      </c>
      <c r="D27" s="21"/>
      <c r="E27" s="21"/>
      <c r="F27" s="21"/>
      <c r="G27" s="21"/>
    </row>
    <row r="28" spans="1:7" x14ac:dyDescent="0.2">
      <c r="A28" s="97">
        <v>400</v>
      </c>
      <c r="B28" s="99">
        <f>FV($E$5/12,120,-400,0,0)</f>
        <v>69233.922973414723</v>
      </c>
      <c r="C28" s="102">
        <f>400*12/85000</f>
        <v>5.647058823529412E-2</v>
      </c>
      <c r="D28" s="21"/>
      <c r="E28" s="21"/>
      <c r="F28" s="21"/>
      <c r="G28" s="21"/>
    </row>
    <row r="29" spans="1:7" x14ac:dyDescent="0.2">
      <c r="A29" s="98">
        <v>500</v>
      </c>
      <c r="B29" s="100">
        <f>FV($E$5/12,120,-500,0,0)</f>
        <v>86542.4037167684</v>
      </c>
      <c r="C29" s="103">
        <f>500*12/85000</f>
        <v>7.0588235294117646E-2</v>
      </c>
      <c r="D29" s="21"/>
      <c r="E29" s="21"/>
      <c r="F29" s="21"/>
      <c r="G29" s="21"/>
    </row>
    <row r="30" spans="1:7" x14ac:dyDescent="0.2">
      <c r="A30" s="21"/>
      <c r="B30" s="21"/>
      <c r="C30" s="21"/>
      <c r="D30" s="21"/>
      <c r="E30" s="21"/>
      <c r="F30" s="21"/>
      <c r="G30" s="21"/>
    </row>
    <row r="31" spans="1:7" x14ac:dyDescent="0.2">
      <c r="A31" s="70" t="s">
        <v>61</v>
      </c>
      <c r="B31" s="21"/>
      <c r="C31" s="21"/>
      <c r="D31" s="21"/>
      <c r="E31" s="21"/>
      <c r="F31" s="21"/>
      <c r="G31" s="21"/>
    </row>
    <row r="32" spans="1:7" x14ac:dyDescent="0.2">
      <c r="A32" s="72" t="s">
        <v>76</v>
      </c>
      <c r="B32" s="21"/>
      <c r="C32" s="21"/>
      <c r="D32" s="21"/>
      <c r="E32" s="21"/>
      <c r="F32" s="21"/>
      <c r="G32" s="21"/>
    </row>
    <row r="33" spans="1:7" x14ac:dyDescent="0.2">
      <c r="A33" s="71" t="s">
        <v>77</v>
      </c>
      <c r="B33" s="21"/>
      <c r="C33" s="21"/>
      <c r="D33" s="21"/>
      <c r="E33" s="21"/>
      <c r="F33" s="21"/>
      <c r="G33" s="21"/>
    </row>
    <row r="34" spans="1:7" x14ac:dyDescent="0.2">
      <c r="A34" s="21"/>
      <c r="B34" s="21"/>
      <c r="C34" s="21"/>
      <c r="D34" s="21"/>
      <c r="E34" s="21"/>
      <c r="F34" s="21"/>
      <c r="G34" s="21"/>
    </row>
    <row r="35" spans="1:7" x14ac:dyDescent="0.2">
      <c r="A35" s="21"/>
      <c r="B35" s="21"/>
      <c r="C35" s="21"/>
      <c r="D35" s="21"/>
      <c r="E35" s="21"/>
      <c r="F35" s="21"/>
      <c r="G35" s="21"/>
    </row>
    <row r="36" spans="1:7" x14ac:dyDescent="0.2">
      <c r="A36" s="21"/>
      <c r="B36" s="21"/>
      <c r="C36" s="21"/>
      <c r="D36" s="21"/>
      <c r="E36" s="21"/>
      <c r="F36" s="21"/>
      <c r="G36" s="21"/>
    </row>
  </sheetData>
  <mergeCells count="2">
    <mergeCell ref="A24:C24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6"/>
  <sheetViews>
    <sheetView workbookViewId="0">
      <selection activeCell="C33" sqref="C33"/>
    </sheetView>
  </sheetViews>
  <sheetFormatPr baseColWidth="10" defaultColWidth="8.83203125" defaultRowHeight="15" x14ac:dyDescent="0.2"/>
  <cols>
    <col min="1" max="1" width="60" customWidth="1"/>
    <col min="2" max="2" width="11" customWidth="1"/>
    <col min="3" max="3" width="22" customWidth="1"/>
    <col min="4" max="4" width="32" customWidth="1"/>
    <col min="5" max="5" width="17" customWidth="1"/>
  </cols>
  <sheetData>
    <row r="1" spans="1:5" ht="21" x14ac:dyDescent="0.25">
      <c r="A1" s="15" t="s">
        <v>78</v>
      </c>
      <c r="B1" s="13"/>
      <c r="C1" s="13"/>
      <c r="D1" s="13"/>
      <c r="E1" s="13"/>
    </row>
    <row r="3" spans="1:5" ht="16" x14ac:dyDescent="0.2">
      <c r="A3" s="18" t="s">
        <v>79</v>
      </c>
      <c r="B3" s="13"/>
      <c r="C3" s="13"/>
      <c r="D3" s="13"/>
      <c r="E3" s="13"/>
    </row>
    <row r="5" spans="1:5" x14ac:dyDescent="0.2">
      <c r="A5" s="3" t="s">
        <v>80</v>
      </c>
    </row>
    <row r="7" spans="1:5" x14ac:dyDescent="0.2">
      <c r="A7" s="16" t="s">
        <v>81</v>
      </c>
      <c r="B7" s="13"/>
      <c r="C7" s="13"/>
      <c r="D7" s="13"/>
      <c r="E7" s="13"/>
    </row>
    <row r="9" spans="1:5" x14ac:dyDescent="0.2">
      <c r="A9" s="4" t="s">
        <v>48</v>
      </c>
      <c r="B9" s="4" t="s">
        <v>49</v>
      </c>
      <c r="C9" s="4" t="s">
        <v>50</v>
      </c>
      <c r="D9" s="4" t="s">
        <v>82</v>
      </c>
      <c r="E9" s="4" t="s">
        <v>53</v>
      </c>
    </row>
    <row r="10" spans="1:5" x14ac:dyDescent="0.2">
      <c r="A10">
        <v>25</v>
      </c>
      <c r="B10">
        <v>1</v>
      </c>
      <c r="C10" s="1">
        <v>1800</v>
      </c>
      <c r="D10" t="s">
        <v>83</v>
      </c>
      <c r="E10" s="1">
        <v>1944</v>
      </c>
    </row>
    <row r="11" spans="1:5" x14ac:dyDescent="0.2">
      <c r="A11">
        <v>26</v>
      </c>
      <c r="B11">
        <v>2</v>
      </c>
      <c r="C11" s="1">
        <v>1800</v>
      </c>
      <c r="D11" t="s">
        <v>83</v>
      </c>
      <c r="E11" s="1">
        <v>5899</v>
      </c>
    </row>
    <row r="12" spans="1:5" x14ac:dyDescent="0.2">
      <c r="A12">
        <v>27</v>
      </c>
      <c r="B12">
        <v>3</v>
      </c>
      <c r="C12" s="1">
        <v>1800</v>
      </c>
      <c r="D12" s="5" t="s">
        <v>84</v>
      </c>
      <c r="E12" s="6">
        <v>6555</v>
      </c>
    </row>
    <row r="13" spans="1:5" x14ac:dyDescent="0.2">
      <c r="A13" s="50"/>
      <c r="B13" s="50"/>
      <c r="C13" s="50"/>
      <c r="D13" s="50"/>
      <c r="E13" s="50"/>
    </row>
    <row r="14" spans="1:5" ht="16" x14ac:dyDescent="0.2">
      <c r="A14">
        <v>34</v>
      </c>
      <c r="B14">
        <v>10</v>
      </c>
      <c r="C14" s="1">
        <v>1800</v>
      </c>
      <c r="D14" t="s">
        <v>86</v>
      </c>
      <c r="E14" s="7">
        <v>28973</v>
      </c>
    </row>
    <row r="17" spans="1:5" x14ac:dyDescent="0.2">
      <c r="A17" s="17" t="s">
        <v>87</v>
      </c>
      <c r="B17" s="13"/>
      <c r="C17" s="13"/>
      <c r="D17" s="13"/>
      <c r="E17" s="13"/>
    </row>
    <row r="19" spans="1:5" x14ac:dyDescent="0.2">
      <c r="A19" s="74" t="s">
        <v>48</v>
      </c>
      <c r="B19" s="74" t="s">
        <v>49</v>
      </c>
      <c r="C19" s="74" t="s">
        <v>50</v>
      </c>
      <c r="D19" s="76" t="s">
        <v>88</v>
      </c>
      <c r="E19" s="4" t="s">
        <v>53</v>
      </c>
    </row>
    <row r="20" spans="1:5" x14ac:dyDescent="0.2">
      <c r="A20">
        <v>25</v>
      </c>
      <c r="B20">
        <v>1</v>
      </c>
      <c r="C20" s="1">
        <v>1800</v>
      </c>
      <c r="D20" s="2" t="s">
        <v>83</v>
      </c>
      <c r="E20" s="1">
        <v>1944</v>
      </c>
    </row>
    <row r="21" spans="1:5" x14ac:dyDescent="0.2">
      <c r="A21">
        <v>26</v>
      </c>
      <c r="B21">
        <v>2</v>
      </c>
      <c r="C21" s="1">
        <v>1800</v>
      </c>
      <c r="D21" s="2" t="s">
        <v>83</v>
      </c>
      <c r="E21" s="1">
        <v>5899</v>
      </c>
    </row>
    <row r="22" spans="1:5" x14ac:dyDescent="0.2">
      <c r="A22">
        <v>27</v>
      </c>
      <c r="B22">
        <v>3</v>
      </c>
      <c r="C22" s="1">
        <v>0</v>
      </c>
      <c r="D22" s="75" t="s">
        <v>89</v>
      </c>
      <c r="E22" s="8">
        <v>4719</v>
      </c>
    </row>
    <row r="23" spans="1:5" x14ac:dyDescent="0.2">
      <c r="A23" t="s">
        <v>85</v>
      </c>
      <c r="B23" t="s">
        <v>85</v>
      </c>
      <c r="D23" s="51" t="s">
        <v>90</v>
      </c>
    </row>
    <row r="24" spans="1:5" ht="16" x14ac:dyDescent="0.2">
      <c r="A24">
        <v>34</v>
      </c>
      <c r="B24">
        <v>10</v>
      </c>
      <c r="C24" s="1">
        <v>1800</v>
      </c>
      <c r="D24" s="2" t="s">
        <v>91</v>
      </c>
      <c r="E24" s="9">
        <v>22318</v>
      </c>
    </row>
    <row r="27" spans="1:5" ht="19" x14ac:dyDescent="0.25">
      <c r="A27" s="52" t="s">
        <v>92</v>
      </c>
      <c r="B27" s="53">
        <f>E14-E24</f>
        <v>6655</v>
      </c>
    </row>
    <row r="28" spans="1:5" x14ac:dyDescent="0.2">
      <c r="A28" s="54" t="s">
        <v>93</v>
      </c>
      <c r="B28" s="55"/>
    </row>
    <row r="31" spans="1:5" x14ac:dyDescent="0.2">
      <c r="A31" s="77" t="s">
        <v>94</v>
      </c>
    </row>
    <row r="32" spans="1:5" x14ac:dyDescent="0.2">
      <c r="A32" s="58" t="s">
        <v>95</v>
      </c>
    </row>
    <row r="33" spans="1:1" x14ac:dyDescent="0.2">
      <c r="A33" s="58" t="s">
        <v>96</v>
      </c>
    </row>
    <row r="34" spans="1:1" x14ac:dyDescent="0.2">
      <c r="A34" s="58" t="s">
        <v>97</v>
      </c>
    </row>
    <row r="35" spans="1:1" x14ac:dyDescent="0.2">
      <c r="A35" s="58" t="s">
        <v>98</v>
      </c>
    </row>
    <row r="36" spans="1:1" x14ac:dyDescent="0.2">
      <c r="A36" s="58" t="s">
        <v>99</v>
      </c>
    </row>
  </sheetData>
  <mergeCells count="4">
    <mergeCell ref="A1:E1"/>
    <mergeCell ref="A7:E7"/>
    <mergeCell ref="A17:E17"/>
    <mergeCell ref="A3:E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6"/>
  <sheetViews>
    <sheetView workbookViewId="0">
      <selection activeCell="D41" sqref="D41"/>
    </sheetView>
  </sheetViews>
  <sheetFormatPr baseColWidth="10" defaultColWidth="8.83203125" defaultRowHeight="15" x14ac:dyDescent="0.2"/>
  <cols>
    <col min="1" max="1" width="60" customWidth="1"/>
    <col min="2" max="2" width="19" customWidth="1"/>
    <col min="3" max="3" width="23" customWidth="1"/>
    <col min="4" max="4" width="26" customWidth="1"/>
    <col min="5" max="5" width="22" customWidth="1"/>
    <col min="7" max="7" width="73.5" customWidth="1"/>
  </cols>
  <sheetData>
    <row r="1" spans="1:7" ht="20" x14ac:dyDescent="0.2">
      <c r="A1" s="32" t="s">
        <v>100</v>
      </c>
      <c r="B1" s="29"/>
      <c r="C1" s="29"/>
      <c r="D1" s="29"/>
      <c r="E1" s="29"/>
    </row>
    <row r="3" spans="1:7" x14ac:dyDescent="0.2">
      <c r="A3" s="19" t="s">
        <v>101</v>
      </c>
      <c r="B3" s="13"/>
      <c r="C3" s="13"/>
      <c r="D3" s="13"/>
      <c r="E3" s="13"/>
    </row>
    <row r="5" spans="1:7" s="21" customFormat="1" ht="18" x14ac:dyDescent="0.2">
      <c r="A5" s="82" t="s">
        <v>48</v>
      </c>
      <c r="B5" s="84" t="s">
        <v>133</v>
      </c>
      <c r="C5" s="36" t="s">
        <v>102</v>
      </c>
      <c r="D5" s="36" t="s">
        <v>103</v>
      </c>
      <c r="E5" s="36" t="s">
        <v>104</v>
      </c>
      <c r="G5" s="59" t="s">
        <v>123</v>
      </c>
    </row>
    <row r="6" spans="1:7" x14ac:dyDescent="0.2">
      <c r="A6" s="83">
        <v>23</v>
      </c>
      <c r="B6" t="s">
        <v>105</v>
      </c>
      <c r="C6" s="10">
        <v>50</v>
      </c>
      <c r="D6" s="11">
        <f>FV(0.06/12,12,-50,0,0)</f>
        <v>616.77811864497608</v>
      </c>
      <c r="E6" t="s">
        <v>106</v>
      </c>
      <c r="G6" s="56" t="s">
        <v>124</v>
      </c>
    </row>
    <row r="7" spans="1:7" x14ac:dyDescent="0.2">
      <c r="A7" s="83">
        <v>25</v>
      </c>
      <c r="B7" t="s">
        <v>107</v>
      </c>
      <c r="C7" s="10">
        <v>100</v>
      </c>
      <c r="D7" s="11">
        <f>FV(0.06/12,36,-75,0,0)</f>
        <v>2950.2078723511904</v>
      </c>
      <c r="E7" t="s">
        <v>108</v>
      </c>
      <c r="G7" s="57" t="s">
        <v>125</v>
      </c>
    </row>
    <row r="8" spans="1:7" x14ac:dyDescent="0.2">
      <c r="A8" s="83">
        <v>28</v>
      </c>
      <c r="B8" t="s">
        <v>109</v>
      </c>
      <c r="C8" s="10">
        <v>200</v>
      </c>
      <c r="D8" s="11">
        <v>8200</v>
      </c>
      <c r="E8" t="s">
        <v>110</v>
      </c>
    </row>
    <row r="9" spans="1:7" x14ac:dyDescent="0.2">
      <c r="A9" s="83">
        <v>30</v>
      </c>
      <c r="B9" t="s">
        <v>111</v>
      </c>
      <c r="C9" s="10">
        <v>350</v>
      </c>
      <c r="D9" s="11">
        <v>18000</v>
      </c>
      <c r="E9" t="s">
        <v>112</v>
      </c>
      <c r="G9" s="81"/>
    </row>
    <row r="10" spans="1:7" ht="19" x14ac:dyDescent="0.25">
      <c r="A10" s="83">
        <v>33</v>
      </c>
      <c r="B10" t="s">
        <v>113</v>
      </c>
      <c r="C10" s="10">
        <v>500</v>
      </c>
      <c r="D10" s="11">
        <v>35000</v>
      </c>
      <c r="E10" t="s">
        <v>114</v>
      </c>
      <c r="G10" s="78" t="s">
        <v>126</v>
      </c>
    </row>
    <row r="11" spans="1:7" x14ac:dyDescent="0.2">
      <c r="A11" s="83">
        <v>38</v>
      </c>
      <c r="B11" t="s">
        <v>115</v>
      </c>
      <c r="C11" s="10">
        <v>1000</v>
      </c>
      <c r="D11" s="11">
        <v>110000</v>
      </c>
      <c r="E11" t="s">
        <v>116</v>
      </c>
      <c r="G11" s="79" t="s">
        <v>127</v>
      </c>
    </row>
    <row r="12" spans="1:7" x14ac:dyDescent="0.2">
      <c r="A12" s="83">
        <v>43</v>
      </c>
      <c r="B12" t="s">
        <v>117</v>
      </c>
      <c r="C12" s="10">
        <v>2000</v>
      </c>
      <c r="D12" s="11">
        <v>310000</v>
      </c>
      <c r="E12" t="s">
        <v>118</v>
      </c>
      <c r="G12" s="79" t="s">
        <v>128</v>
      </c>
    </row>
    <row r="13" spans="1:7" x14ac:dyDescent="0.2">
      <c r="A13" s="83">
        <v>48</v>
      </c>
      <c r="B13" t="s">
        <v>119</v>
      </c>
      <c r="C13" s="10">
        <v>3500</v>
      </c>
      <c r="D13" s="11">
        <v>780000</v>
      </c>
      <c r="E13" t="s">
        <v>120</v>
      </c>
      <c r="G13" s="79" t="s">
        <v>129</v>
      </c>
    </row>
    <row r="14" spans="1:7" ht="16" x14ac:dyDescent="0.2">
      <c r="A14" s="83">
        <v>53</v>
      </c>
      <c r="B14" t="s">
        <v>121</v>
      </c>
      <c r="C14" s="10">
        <v>5000</v>
      </c>
      <c r="D14" s="12">
        <v>2000000</v>
      </c>
      <c r="E14" t="s">
        <v>122</v>
      </c>
      <c r="G14" s="79" t="s">
        <v>130</v>
      </c>
    </row>
    <row r="15" spans="1:7" x14ac:dyDescent="0.2">
      <c r="G15" s="79" t="s">
        <v>131</v>
      </c>
    </row>
    <row r="16" spans="1:7" x14ac:dyDescent="0.2">
      <c r="G16" s="80" t="s">
        <v>132</v>
      </c>
    </row>
  </sheetData>
  <mergeCells count="2">
    <mergeCell ref="A1:E1"/>
    <mergeCell ref="A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Dashboard</vt:lpstr>
      <vt:lpstr>Luna Freeman</vt:lpstr>
      <vt:lpstr>Maya Orion</vt:lpstr>
      <vt:lpstr>Robin Goodman</vt:lpstr>
      <vt:lpstr>Behavioral Impact</vt:lpstr>
      <vt:lpstr>Lifetime Value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Sierra Smith</cp:lastModifiedBy>
  <dcterms:created xsi:type="dcterms:W3CDTF">2025-11-11T04:28:32Z</dcterms:created>
  <dcterms:modified xsi:type="dcterms:W3CDTF">2025-11-11T07:48:21Z</dcterms:modified>
</cp:coreProperties>
</file>